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tiff" ContentType="image/tif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njo190473\Desktop\"/>
    </mc:Choice>
  </mc:AlternateContent>
  <bookViews>
    <workbookView minimized="1" xWindow="0" yWindow="0" windowWidth="28800" windowHeight="11835" tabRatio="729"/>
  </bookViews>
  <sheets>
    <sheet name="はじめに" sheetId="8" r:id="rId1"/>
    <sheet name="①貯留_調整池" sheetId="12" r:id="rId2"/>
    <sheet name="②-1浸透_公共用地" sheetId="1" r:id="rId3"/>
    <sheet name="②-2浸透_宅造" sheetId="4" r:id="rId4"/>
    <sheet name="③浸透_住宅・事業所の建築" sheetId="11" r:id="rId5"/>
    <sheet name="備考" sheetId="14" r:id="rId6"/>
    <sheet name="マクロ" sheetId="15" state="veryHidden" r:id="rId7"/>
    <sheet name="参照" sheetId="2" state="veryHidden" r:id="rId8"/>
    <sheet name="kf算定式" sheetId="13" state="veryHidden" r:id="rId9"/>
  </sheets>
  <definedNames>
    <definedName name="_xlnm.Print_Area" localSheetId="1">①貯留_調整池!$A$53:$S$250</definedName>
    <definedName name="_xlnm.Print_Area" localSheetId="2">'②-1浸透_公共用地'!$A$47:$S$244</definedName>
    <definedName name="_xlnm.Print_Area" localSheetId="3">'②-2浸透_宅造'!$A$32:$S$194</definedName>
    <definedName name="_xlnm.Print_Area" localSheetId="4">③浸透_住宅・事業所の建築!$A$49:$S$289</definedName>
    <definedName name="矩形ます_側面・底面浸透">kf算定式!$T$3:$AI$16</definedName>
    <definedName name="矩形ます_側面浸透">kf算定式!$B$3:$Q$16</definedName>
    <definedName name="計画降雨名称・定数">参照!$A$1:$D$8</definedName>
    <definedName name="事業所浸透施設リスト">参照!$H$2:$H$9</definedName>
    <definedName name="事業所浸透貯留施設リスト">参照!$G$2:$G$4</definedName>
    <definedName name="浸透_公共用地kf表">INDIRECT('②-1浸透_公共用地'!$AO$32)</definedName>
    <definedName name="浸透_事業所・共同住宅kf表">INDIRECT(③浸透_住宅・事業所の建築!$AO$33)</definedName>
    <definedName name="大型貯留槽_側面・底面浸透10_20">kf算定式!$T$19:$AI$32</definedName>
    <definedName name="大型貯留槽_側面・底面浸透20_30">kf算定式!$BM$19:$CB$32</definedName>
    <definedName name="大型貯留槽_側面・底面浸透5_10">kf算定式!$B$19:$Q$32</definedName>
    <definedName name="大型貯留槽_側面浸透10_20">kf算定式!$T$35:$AI$48</definedName>
    <definedName name="大型貯留槽_側面浸透20_30">kf算定式!$BM$35:$CB$48</definedName>
    <definedName name="大型貯留槽_側面浸透5_10">kf算定式!$B$35:$Q$48</definedName>
  </definedNames>
  <calcPr calcId="162913"/>
  <extLst>
    <ext xmlns:x14="http://schemas.microsoft.com/office/spreadsheetml/2009/9/main" uri="{79F54976-1DA5-4618-B147-4CDE4B953A38}">
      <x14:workbookPr defaultImageDpi="15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33" i="11" l="1"/>
  <c r="AX21" i="11"/>
  <c r="AU21" i="11"/>
  <c r="AX17" i="11"/>
  <c r="AU17" i="11"/>
  <c r="H53" i="11" l="1"/>
  <c r="T51" i="1" l="1"/>
  <c r="T52" i="1" s="1"/>
  <c r="T53" i="1" s="1"/>
  <c r="T54" i="1" s="1"/>
  <c r="T55" i="1" s="1"/>
  <c r="T56" i="1" s="1"/>
  <c r="T57" i="1" s="1"/>
  <c r="T58" i="1" s="1"/>
  <c r="T59" i="1" s="1"/>
  <c r="T60" i="1" s="1"/>
  <c r="T61" i="1" s="1"/>
  <c r="T62" i="1" s="1"/>
  <c r="T63" i="1" s="1"/>
  <c r="T64" i="1" s="1"/>
  <c r="T65" i="1" s="1"/>
  <c r="T66" i="1" s="1"/>
  <c r="T67" i="1" s="1"/>
  <c r="T68" i="1" s="1"/>
  <c r="T69" i="1" s="1"/>
  <c r="T70" i="1" s="1"/>
  <c r="T71" i="1" s="1"/>
  <c r="T72" i="1" s="1"/>
  <c r="T73" i="1" s="1"/>
  <c r="T74" i="1" s="1"/>
  <c r="T75" i="1" s="1"/>
  <c r="T76" i="1" s="1"/>
  <c r="T77" i="1" s="1"/>
  <c r="T78" i="1" s="1"/>
  <c r="T79" i="1" s="1"/>
  <c r="T80" i="1" s="1"/>
  <c r="T81" i="1" s="1"/>
  <c r="T82" i="1" s="1"/>
  <c r="T83" i="1" s="1"/>
  <c r="T84" i="1" s="1"/>
  <c r="T85" i="1" s="1"/>
  <c r="T86" i="1" s="1"/>
  <c r="T87" i="1" s="1"/>
  <c r="T88" i="1" s="1"/>
  <c r="T89" i="1" s="1"/>
  <c r="T90" i="1" s="1"/>
  <c r="H51" i="1"/>
  <c r="H57" i="12"/>
  <c r="T57" i="12"/>
  <c r="T58" i="12" s="1"/>
  <c r="T59" i="12" s="1"/>
  <c r="T60" i="12" s="1"/>
  <c r="T61" i="12" s="1"/>
  <c r="T62" i="12" s="1"/>
  <c r="T63" i="12" s="1"/>
  <c r="T64" i="12" s="1"/>
  <c r="T65" i="12" s="1"/>
  <c r="T66" i="12" s="1"/>
  <c r="T67" i="12" s="1"/>
  <c r="T68" i="12" s="1"/>
  <c r="T69" i="12" s="1"/>
  <c r="T70" i="12" s="1"/>
  <c r="T71" i="12" s="1"/>
  <c r="T72" i="12" s="1"/>
  <c r="T73" i="12" s="1"/>
  <c r="T74" i="12" s="1"/>
  <c r="T75" i="12" s="1"/>
  <c r="T76" i="12" s="1"/>
  <c r="T77" i="12" s="1"/>
  <c r="T78" i="12" s="1"/>
  <c r="T79" i="12" s="1"/>
  <c r="T80" i="12" s="1"/>
  <c r="T81" i="12" s="1"/>
  <c r="T82" i="12" s="1"/>
  <c r="T83" i="12" s="1"/>
  <c r="T84" i="12" s="1"/>
  <c r="T85" i="12" s="1"/>
  <c r="T86" i="12" s="1"/>
  <c r="T87" i="12" s="1"/>
  <c r="T88" i="12" s="1"/>
  <c r="T89" i="12" s="1"/>
  <c r="T90" i="12" s="1"/>
  <c r="T91" i="12" s="1"/>
  <c r="T92" i="12" s="1"/>
  <c r="T93" i="12" s="1"/>
  <c r="T94" i="12" s="1"/>
  <c r="T95" i="12" s="1"/>
  <c r="T96" i="12" s="1"/>
  <c r="T97" i="12" s="1"/>
  <c r="T98" i="12" s="1"/>
  <c r="T99" i="12" s="1"/>
  <c r="T100" i="12" s="1"/>
  <c r="T101" i="12" s="1"/>
  <c r="T102" i="12" s="1"/>
  <c r="T103" i="12" s="1"/>
  <c r="K34" i="11" l="1"/>
  <c r="I34" i="11"/>
  <c r="K33" i="11"/>
  <c r="I33" i="11"/>
  <c r="J20" i="1" l="1"/>
  <c r="J19" i="1"/>
  <c r="J18" i="1"/>
  <c r="J14" i="1"/>
  <c r="J13" i="1"/>
  <c r="J12" i="1"/>
  <c r="J11" i="1"/>
  <c r="J10" i="1"/>
  <c r="J9" i="1"/>
  <c r="AR58" i="1"/>
  <c r="AR41" i="4"/>
  <c r="J13" i="4"/>
  <c r="J12" i="4"/>
  <c r="J11" i="4"/>
  <c r="O23" i="4"/>
  <c r="O54" i="4" s="1"/>
  <c r="O32" i="1"/>
  <c r="O77" i="1" s="1"/>
  <c r="AR65" i="12"/>
  <c r="J20" i="12"/>
  <c r="J19" i="12"/>
  <c r="J18" i="12"/>
  <c r="J14" i="12"/>
  <c r="J13" i="12"/>
  <c r="J12" i="12"/>
  <c r="J11" i="12"/>
  <c r="J10" i="12"/>
  <c r="J9" i="12"/>
  <c r="O29" i="12"/>
  <c r="O80" i="12" s="1"/>
  <c r="O35" i="11"/>
  <c r="AS62" i="11"/>
  <c r="J20" i="11"/>
  <c r="J19" i="11"/>
  <c r="J18" i="11"/>
  <c r="J14" i="11"/>
  <c r="J13" i="11"/>
  <c r="J12" i="11"/>
  <c r="J11" i="11"/>
  <c r="J10" i="11"/>
  <c r="J9" i="11"/>
  <c r="AX45" i="11" l="1"/>
  <c r="T160" i="4" l="1"/>
  <c r="T108" i="4"/>
  <c r="T208" i="12"/>
  <c r="T209" i="12" s="1"/>
  <c r="T210" i="12" s="1"/>
  <c r="T211" i="12" s="1"/>
  <c r="T212" i="12" s="1"/>
  <c r="T213" i="12" s="1"/>
  <c r="T214" i="12" s="1"/>
  <c r="T215" i="12" s="1"/>
  <c r="T216" i="12" s="1"/>
  <c r="T156" i="12"/>
  <c r="T157" i="12"/>
  <c r="T158" i="12" s="1"/>
  <c r="T159" i="12" s="1"/>
  <c r="T75" i="4"/>
  <c r="T76" i="4"/>
  <c r="T77" i="4" s="1"/>
  <c r="T78" i="4" s="1"/>
  <c r="T79" i="4" s="1"/>
  <c r="T80" i="4" s="1"/>
  <c r="T81" i="4" s="1"/>
  <c r="T82" i="4" s="1"/>
  <c r="T117" i="12"/>
  <c r="T118" i="12"/>
  <c r="T119" i="12"/>
  <c r="T120" i="12"/>
  <c r="T121" i="12" s="1"/>
  <c r="T153" i="11" l="1"/>
  <c r="O82" i="11" l="1"/>
  <c r="M81" i="11" l="1"/>
  <c r="M80" i="11"/>
  <c r="M79" i="11"/>
  <c r="T96" i="11" l="1"/>
  <c r="T97" i="11" s="1"/>
  <c r="T98" i="11" s="1"/>
  <c r="T99" i="11" s="1"/>
  <c r="T100" i="11" s="1"/>
  <c r="T101" i="11" s="1"/>
  <c r="T102" i="11" s="1"/>
  <c r="T103" i="11" s="1"/>
  <c r="T104" i="11" s="1"/>
  <c r="T105" i="11" s="1"/>
  <c r="L285" i="11"/>
  <c r="L284" i="11"/>
  <c r="P269" i="11"/>
  <c r="N269" i="11"/>
  <c r="L269" i="11"/>
  <c r="C269" i="11"/>
  <c r="P268" i="11"/>
  <c r="N268" i="11"/>
  <c r="L268" i="11"/>
  <c r="C268" i="11"/>
  <c r="P267" i="11"/>
  <c r="N267" i="11"/>
  <c r="L267" i="11"/>
  <c r="J267" i="11"/>
  <c r="H267" i="11"/>
  <c r="M156" i="11"/>
  <c r="M157" i="11"/>
  <c r="M155" i="11"/>
  <c r="C156" i="11"/>
  <c r="C157" i="11"/>
  <c r="Q157" i="11"/>
  <c r="O157" i="11"/>
  <c r="Q156" i="11"/>
  <c r="O156" i="11"/>
  <c r="Q81" i="11"/>
  <c r="O81" i="11"/>
  <c r="Q80" i="11"/>
  <c r="O80" i="11"/>
  <c r="K72" i="11"/>
  <c r="AX23" i="11"/>
  <c r="AW23" i="11"/>
  <c r="AX22" i="11"/>
  <c r="AW22" i="11"/>
  <c r="AV23" i="11"/>
  <c r="BA23" i="11" s="1"/>
  <c r="AU23" i="11"/>
  <c r="AV22" i="11"/>
  <c r="AU22" i="11"/>
  <c r="AT46" i="11"/>
  <c r="AT45" i="11"/>
  <c r="AR46" i="11"/>
  <c r="AR45" i="11"/>
  <c r="AN46" i="11"/>
  <c r="AN45" i="11"/>
  <c r="N164" i="11" l="1"/>
  <c r="E164" i="11"/>
  <c r="L164" i="11"/>
  <c r="J164" i="11"/>
  <c r="N163" i="11"/>
  <c r="E163" i="11"/>
  <c r="L163" i="11"/>
  <c r="J163" i="11"/>
  <c r="AZ46" i="11"/>
  <c r="R267" i="11"/>
  <c r="H269" i="11"/>
  <c r="J269" i="11"/>
  <c r="J268" i="11"/>
  <c r="H268" i="11"/>
  <c r="I81" i="11"/>
  <c r="I157" i="11"/>
  <c r="K157" i="11"/>
  <c r="I80" i="11"/>
  <c r="I156" i="11"/>
  <c r="K156" i="11"/>
  <c r="K80" i="11"/>
  <c r="K81" i="11"/>
  <c r="AZ45" i="11"/>
  <c r="AY23" i="11"/>
  <c r="AZ22" i="11"/>
  <c r="BC22" i="11" s="1"/>
  <c r="AL45" i="11" s="1"/>
  <c r="C163" i="11" s="1"/>
  <c r="AZ23" i="11"/>
  <c r="R268" i="11" l="1"/>
  <c r="R269" i="11"/>
  <c r="AP45" i="11"/>
  <c r="G163" i="11" s="1"/>
  <c r="BC23" i="11"/>
  <c r="AL46" i="11" s="1"/>
  <c r="C164" i="11" s="1"/>
  <c r="E288" i="11" l="1"/>
  <c r="AP46" i="11"/>
  <c r="P163" i="11"/>
  <c r="G164" i="11" l="1"/>
  <c r="AX46" i="11"/>
  <c r="P164" i="11" s="1"/>
  <c r="H92" i="11" l="1"/>
  <c r="K90" i="11"/>
  <c r="M85" i="11"/>
  <c r="J82" i="11"/>
  <c r="Q79" i="11"/>
  <c r="O79" i="11"/>
  <c r="K79" i="11"/>
  <c r="I79" i="11"/>
  <c r="K75" i="11"/>
  <c r="K74" i="11"/>
  <c r="K73" i="11"/>
  <c r="K71" i="11"/>
  <c r="N67" i="11"/>
  <c r="G67" i="11"/>
  <c r="D67" i="11"/>
  <c r="N66" i="11"/>
  <c r="G66" i="11"/>
  <c r="D66" i="11"/>
  <c r="N65" i="11"/>
  <c r="G65" i="11"/>
  <c r="D65" i="11"/>
  <c r="N61" i="11"/>
  <c r="G61" i="11"/>
  <c r="D61" i="11"/>
  <c r="N60" i="11"/>
  <c r="G60" i="11"/>
  <c r="D60" i="11"/>
  <c r="N59" i="11"/>
  <c r="G59" i="11"/>
  <c r="D59" i="11"/>
  <c r="N58" i="11"/>
  <c r="G58" i="11"/>
  <c r="D58" i="11"/>
  <c r="N57" i="11"/>
  <c r="G57" i="11"/>
  <c r="D57" i="11"/>
  <c r="N56" i="11"/>
  <c r="G56" i="11"/>
  <c r="D56" i="11"/>
  <c r="H59" i="4"/>
  <c r="J54" i="4"/>
  <c r="O53" i="4"/>
  <c r="M53" i="4"/>
  <c r="K53" i="4"/>
  <c r="I53" i="4"/>
  <c r="K49" i="4"/>
  <c r="K48" i="4"/>
  <c r="K47" i="4"/>
  <c r="D44" i="4"/>
  <c r="D43" i="4"/>
  <c r="D42" i="4"/>
  <c r="J39" i="4"/>
  <c r="N39" i="4" s="1"/>
  <c r="K38" i="4"/>
  <c r="K37" i="4"/>
  <c r="K36" i="4"/>
  <c r="N65" i="1"/>
  <c r="G65" i="1"/>
  <c r="D65" i="1"/>
  <c r="N64" i="1"/>
  <c r="G64" i="1"/>
  <c r="D64" i="1"/>
  <c r="N63" i="1"/>
  <c r="G63" i="1"/>
  <c r="D63" i="1"/>
  <c r="N71" i="12"/>
  <c r="G71" i="12"/>
  <c r="D71" i="12"/>
  <c r="N70" i="12"/>
  <c r="G70" i="12"/>
  <c r="D70" i="12"/>
  <c r="N69" i="12"/>
  <c r="G69" i="12"/>
  <c r="D69" i="12"/>
  <c r="H88" i="1" l="1"/>
  <c r="K86" i="1"/>
  <c r="K81" i="1"/>
  <c r="K80" i="1"/>
  <c r="J77" i="1"/>
  <c r="O76" i="1"/>
  <c r="M76" i="1"/>
  <c r="K76" i="1"/>
  <c r="I76" i="1"/>
  <c r="K72" i="1"/>
  <c r="K71" i="1"/>
  <c r="K70" i="1"/>
  <c r="K69" i="1"/>
  <c r="N59" i="1"/>
  <c r="G59" i="1"/>
  <c r="D59" i="1"/>
  <c r="N58" i="1"/>
  <c r="G58" i="1"/>
  <c r="D58" i="1"/>
  <c r="N57" i="1"/>
  <c r="G57" i="1"/>
  <c r="D57" i="1"/>
  <c r="N56" i="1"/>
  <c r="G56" i="1"/>
  <c r="D56" i="1"/>
  <c r="N55" i="1"/>
  <c r="G55" i="1"/>
  <c r="D55" i="1"/>
  <c r="N54" i="1"/>
  <c r="G54" i="1"/>
  <c r="D54" i="1"/>
  <c r="G66" i="1"/>
  <c r="K101" i="12"/>
  <c r="K99" i="12"/>
  <c r="K97" i="12"/>
  <c r="H95" i="12"/>
  <c r="K93" i="12"/>
  <c r="K88" i="12"/>
  <c r="K84" i="12"/>
  <c r="K83" i="12"/>
  <c r="J80" i="12"/>
  <c r="O79" i="12"/>
  <c r="L79" i="12"/>
  <c r="I79" i="12"/>
  <c r="D79" i="12"/>
  <c r="K75" i="12"/>
  <c r="N62" i="12"/>
  <c r="N63" i="12"/>
  <c r="N64" i="12"/>
  <c r="N65" i="12"/>
  <c r="N61" i="12"/>
  <c r="N60" i="12"/>
  <c r="G65" i="12"/>
  <c r="G64" i="12"/>
  <c r="G63" i="12"/>
  <c r="G62" i="12"/>
  <c r="G61" i="12"/>
  <c r="G60" i="12"/>
  <c r="D62" i="12"/>
  <c r="D63" i="12"/>
  <c r="D64" i="12"/>
  <c r="D65" i="12"/>
  <c r="D61" i="12"/>
  <c r="D60" i="12"/>
  <c r="G72" i="12"/>
  <c r="G60" i="1" l="1"/>
  <c r="G66" i="12"/>
  <c r="T54" i="12" l="1"/>
  <c r="T55" i="12" s="1"/>
  <c r="T56" i="12" s="1"/>
  <c r="N13" i="4" l="1"/>
  <c r="N44" i="4" s="1"/>
  <c r="N8" i="4" l="1"/>
  <c r="D93" i="4"/>
  <c r="G13" i="4"/>
  <c r="G44" i="4" s="1"/>
  <c r="A32" i="4"/>
  <c r="AO32" i="1" l="1"/>
  <c r="J67" i="11" l="1"/>
  <c r="J66" i="11"/>
  <c r="AR19" i="11"/>
  <c r="AQ19" i="11"/>
  <c r="AP19" i="11"/>
  <c r="AR18" i="11"/>
  <c r="AQ18" i="11"/>
  <c r="AP18" i="11"/>
  <c r="AR17" i="11"/>
  <c r="AQ17" i="11"/>
  <c r="AP17" i="11"/>
  <c r="AR16" i="11"/>
  <c r="AQ16" i="11"/>
  <c r="AP16" i="11"/>
  <c r="AR15" i="11"/>
  <c r="AQ15" i="11"/>
  <c r="AP15" i="11"/>
  <c r="AR14" i="11"/>
  <c r="AQ14" i="11"/>
  <c r="AP14" i="11"/>
  <c r="AR13" i="11"/>
  <c r="AQ13" i="11"/>
  <c r="AP13" i="11"/>
  <c r="AR12" i="11"/>
  <c r="AQ12" i="11"/>
  <c r="AP12" i="11"/>
  <c r="J65" i="1"/>
  <c r="J64" i="1"/>
  <c r="J63" i="1"/>
  <c r="AP17" i="1"/>
  <c r="AQ17" i="1"/>
  <c r="AR17" i="1"/>
  <c r="AR16" i="1"/>
  <c r="AQ16" i="1"/>
  <c r="AP16" i="1"/>
  <c r="AR15" i="1"/>
  <c r="AQ15" i="1"/>
  <c r="AP15" i="1"/>
  <c r="AR14" i="1"/>
  <c r="AQ14" i="1"/>
  <c r="AP14" i="1"/>
  <c r="AR13" i="1"/>
  <c r="AQ13" i="1"/>
  <c r="AP13" i="1"/>
  <c r="AR12" i="1"/>
  <c r="AQ12" i="1"/>
  <c r="AP12" i="1"/>
  <c r="AR11" i="1"/>
  <c r="AQ11" i="1"/>
  <c r="AP11" i="1"/>
  <c r="AR10" i="1"/>
  <c r="AQ10" i="1"/>
  <c r="AP10" i="1"/>
  <c r="AR9" i="1"/>
  <c r="AQ9" i="1"/>
  <c r="AP9" i="1"/>
  <c r="AP13" i="12"/>
  <c r="AP14" i="12"/>
  <c r="AP15" i="12"/>
  <c r="AP16" i="12"/>
  <c r="AP17" i="12"/>
  <c r="AP18" i="12"/>
  <c r="AP19" i="12"/>
  <c r="AP12" i="12"/>
  <c r="AQ13" i="12"/>
  <c r="AR13" i="12"/>
  <c r="AQ14" i="12"/>
  <c r="AR14" i="12"/>
  <c r="AQ15" i="12"/>
  <c r="AR15" i="12"/>
  <c r="AQ16" i="12"/>
  <c r="AR16" i="12"/>
  <c r="AQ17" i="12"/>
  <c r="AR17" i="12"/>
  <c r="AQ18" i="12"/>
  <c r="AR18" i="12"/>
  <c r="AQ19" i="12"/>
  <c r="AR19" i="12"/>
  <c r="AR12" i="12"/>
  <c r="AQ12" i="12"/>
  <c r="J71" i="12"/>
  <c r="J70" i="12"/>
  <c r="J69" i="12"/>
  <c r="J65" i="11" l="1"/>
  <c r="I230" i="12"/>
  <c r="G15" i="1" l="1"/>
  <c r="G15" i="11" l="1"/>
  <c r="G62" i="11" s="1"/>
  <c r="G15" i="12"/>
  <c r="AZ14" i="1" l="1"/>
  <c r="AZ13" i="1" s="1"/>
  <c r="AZ10" i="1"/>
  <c r="AZ11" i="1" s="1"/>
  <c r="AT22" i="1"/>
  <c r="AT23" i="1"/>
  <c r="AU23" i="1" s="1"/>
  <c r="AT24" i="1"/>
  <c r="AU24" i="1" s="1"/>
  <c r="AT25" i="1"/>
  <c r="AU25" i="1" s="1"/>
  <c r="AT26" i="1"/>
  <c r="AU26" i="1" s="1"/>
  <c r="AT27" i="1"/>
  <c r="AU27" i="1" s="1"/>
  <c r="AT28" i="1"/>
  <c r="AU28" i="1" s="1"/>
  <c r="AT21" i="1"/>
  <c r="AR22" i="1"/>
  <c r="AR21" i="1"/>
  <c r="AQ28" i="1"/>
  <c r="AQ27" i="1"/>
  <c r="AQ26" i="1"/>
  <c r="AQ25" i="1"/>
  <c r="AQ24" i="1"/>
  <c r="AQ23" i="1"/>
  <c r="AQ22" i="1"/>
  <c r="AQ21" i="1"/>
  <c r="AS28" i="1"/>
  <c r="AS27" i="1"/>
  <c r="AS26" i="1"/>
  <c r="AS25" i="1"/>
  <c r="AS24" i="1"/>
  <c r="AS23" i="1"/>
  <c r="AS22" i="1"/>
  <c r="AS21" i="1"/>
  <c r="D31" i="1"/>
  <c r="D76" i="1" s="1"/>
  <c r="AZ9" i="1" l="1"/>
  <c r="AY28" i="1"/>
  <c r="AX22" i="1"/>
  <c r="AY24" i="1"/>
  <c r="AY27" i="1"/>
  <c r="AY23" i="1"/>
  <c r="AY26" i="1"/>
  <c r="AU22" i="1"/>
  <c r="AV22" i="1"/>
  <c r="AU21" i="1"/>
  <c r="AZ7" i="1"/>
  <c r="BA9" i="1" s="1"/>
  <c r="AZ15" i="1"/>
  <c r="AY25" i="1"/>
  <c r="AV21" i="1"/>
  <c r="AY21" i="1" l="1"/>
  <c r="AY22" i="1"/>
  <c r="BA11" i="1"/>
  <c r="BA10" i="1" s="1"/>
  <c r="BA13" i="1"/>
  <c r="BA15" i="1"/>
  <c r="BA14" i="1" l="1"/>
  <c r="AL39" i="1" s="1"/>
  <c r="J65" i="12" l="1"/>
  <c r="J64" i="12"/>
  <c r="J63" i="12"/>
  <c r="J62" i="12"/>
  <c r="J61" i="12"/>
  <c r="J60" i="12"/>
  <c r="J61" i="11"/>
  <c r="J60" i="11"/>
  <c r="J59" i="11"/>
  <c r="J58" i="11"/>
  <c r="J57" i="11"/>
  <c r="J56" i="11"/>
  <c r="J59" i="1"/>
  <c r="J58" i="1"/>
  <c r="J57" i="1"/>
  <c r="J56" i="1"/>
  <c r="J55" i="1"/>
  <c r="J54" i="1"/>
  <c r="K117" i="11"/>
  <c r="H46" i="12"/>
  <c r="H97" i="12" s="1"/>
  <c r="B106" i="12"/>
  <c r="K36" i="12"/>
  <c r="K87" i="12" s="1"/>
  <c r="J44" i="4"/>
  <c r="J43" i="4"/>
  <c r="J42" i="4"/>
  <c r="B107" i="12"/>
  <c r="G105" i="11"/>
  <c r="E214" i="12"/>
  <c r="K126" i="12"/>
  <c r="E257" i="11"/>
  <c r="G114" i="12" l="1"/>
  <c r="B98" i="11"/>
  <c r="E183" i="4"/>
  <c r="K84" i="4"/>
  <c r="G72" i="4"/>
  <c r="B65" i="4"/>
  <c r="B94" i="1"/>
  <c r="AZ30" i="4"/>
  <c r="K113" i="1" l="1"/>
  <c r="E233" i="1"/>
  <c r="G101" i="1"/>
  <c r="AZ44" i="11"/>
  <c r="BE19" i="11"/>
  <c r="BE20" i="11" s="1"/>
  <c r="AX13" i="11"/>
  <c r="AW13" i="11"/>
  <c r="AV13" i="11"/>
  <c r="AU13" i="11"/>
  <c r="AX20" i="11"/>
  <c r="AW20" i="11"/>
  <c r="AU20" i="11"/>
  <c r="AX19" i="11"/>
  <c r="AY19" i="11" s="1"/>
  <c r="AW19" i="11"/>
  <c r="AU19" i="11"/>
  <c r="AX18" i="11"/>
  <c r="AY18" i="11" s="1"/>
  <c r="AW18" i="11"/>
  <c r="AU18" i="11"/>
  <c r="D32" i="11"/>
  <c r="C267" i="11" s="1"/>
  <c r="Q192" i="4"/>
  <c r="N192" i="4"/>
  <c r="K192" i="4"/>
  <c r="H192" i="4"/>
  <c r="E192" i="4"/>
  <c r="Q242" i="1"/>
  <c r="K242" i="1"/>
  <c r="H242" i="1"/>
  <c r="E242" i="1"/>
  <c r="N242" i="1"/>
  <c r="AZ39" i="1"/>
  <c r="T50" i="11"/>
  <c r="T51" i="11" s="1"/>
  <c r="T52" i="11" s="1"/>
  <c r="T53" i="11" s="1"/>
  <c r="T54" i="11" s="1"/>
  <c r="T55" i="11" s="1"/>
  <c r="T56" i="11" s="1"/>
  <c r="T57" i="11" s="1"/>
  <c r="T58" i="11" s="1"/>
  <c r="T59" i="11" s="1"/>
  <c r="T60" i="11" s="1"/>
  <c r="T61" i="11" s="1"/>
  <c r="T62" i="11" s="1"/>
  <c r="T63" i="11" s="1"/>
  <c r="T64" i="11" s="1"/>
  <c r="T65" i="11" s="1"/>
  <c r="T66" i="11" s="1"/>
  <c r="T67" i="11" s="1"/>
  <c r="T68" i="11" s="1"/>
  <c r="T69" i="11" s="1"/>
  <c r="T70" i="11" s="1"/>
  <c r="T71" i="11" s="1"/>
  <c r="T72" i="11" s="1"/>
  <c r="T73" i="11" s="1"/>
  <c r="T74" i="11" s="1"/>
  <c r="T75" i="11" s="1"/>
  <c r="T76" i="11" s="1"/>
  <c r="T77" i="11" s="1"/>
  <c r="T78" i="11" s="1"/>
  <c r="T79" i="11" s="1"/>
  <c r="T80" i="11" s="1"/>
  <c r="T81" i="11" s="1"/>
  <c r="T82" i="11" s="1"/>
  <c r="T83" i="11" s="1"/>
  <c r="T84" i="11" s="1"/>
  <c r="T85" i="11" s="1"/>
  <c r="T86" i="11" s="1"/>
  <c r="T87" i="11" s="1"/>
  <c r="T88" i="11" s="1"/>
  <c r="T89" i="11" s="1"/>
  <c r="T90" i="11" s="1"/>
  <c r="T91" i="11" s="1"/>
  <c r="T92" i="11" s="1"/>
  <c r="T93" i="11" s="1"/>
  <c r="T94" i="11" s="1"/>
  <c r="H163" i="12"/>
  <c r="N223" i="12"/>
  <c r="K223" i="12"/>
  <c r="L228" i="12" s="1"/>
  <c r="H223" i="12"/>
  <c r="E223" i="12"/>
  <c r="Q169" i="12"/>
  <c r="L169" i="12"/>
  <c r="H169" i="12"/>
  <c r="B169" i="12"/>
  <c r="N163" i="12"/>
  <c r="E153" i="12"/>
  <c r="N144" i="12"/>
  <c r="F144" i="12"/>
  <c r="C144" i="12"/>
  <c r="N143" i="12"/>
  <c r="F143" i="12"/>
  <c r="C143" i="12"/>
  <c r="N142" i="12"/>
  <c r="F142" i="12"/>
  <c r="C142" i="12"/>
  <c r="N136" i="12"/>
  <c r="F136" i="12"/>
  <c r="C136" i="12"/>
  <c r="N135" i="12"/>
  <c r="F135" i="12"/>
  <c r="C135" i="12"/>
  <c r="N134" i="12"/>
  <c r="F134" i="12"/>
  <c r="C134" i="12"/>
  <c r="N133" i="12"/>
  <c r="F133" i="12"/>
  <c r="C133" i="12"/>
  <c r="N132" i="12"/>
  <c r="F132" i="12"/>
  <c r="C132" i="12"/>
  <c r="N131" i="12"/>
  <c r="F131" i="12"/>
  <c r="C131" i="12"/>
  <c r="F235" i="12"/>
  <c r="AX67" i="12"/>
  <c r="G21" i="12"/>
  <c r="L20" i="12"/>
  <c r="H144" i="12"/>
  <c r="L19" i="12"/>
  <c r="H143" i="12"/>
  <c r="H142" i="12"/>
  <c r="L14" i="12"/>
  <c r="H136" i="12"/>
  <c r="L13" i="12"/>
  <c r="H135" i="12"/>
  <c r="L12" i="12"/>
  <c r="H134" i="12"/>
  <c r="L11" i="12"/>
  <c r="H133" i="12"/>
  <c r="L10" i="12"/>
  <c r="H132" i="12"/>
  <c r="H131" i="12"/>
  <c r="AX14" i="11"/>
  <c r="AY14" i="11" s="1"/>
  <c r="AW14" i="11"/>
  <c r="AU14" i="11"/>
  <c r="AY20" i="11" l="1"/>
  <c r="AY21" i="11"/>
  <c r="BC21" i="11" s="1"/>
  <c r="D79" i="11"/>
  <c r="C155" i="11"/>
  <c r="K144" i="12"/>
  <c r="L71" i="12"/>
  <c r="K143" i="12"/>
  <c r="L70" i="12"/>
  <c r="K132" i="12"/>
  <c r="L61" i="12"/>
  <c r="K134" i="12"/>
  <c r="L63" i="12"/>
  <c r="K136" i="12"/>
  <c r="L65" i="12"/>
  <c r="K133" i="12"/>
  <c r="L62" i="12"/>
  <c r="K135" i="12"/>
  <c r="L64" i="12"/>
  <c r="E224" i="12"/>
  <c r="T105" i="12"/>
  <c r="T106" i="12" s="1"/>
  <c r="T107" i="12" s="1"/>
  <c r="T108" i="12" s="1"/>
  <c r="BC20" i="11"/>
  <c r="BC18" i="11"/>
  <c r="AV39" i="1"/>
  <c r="AZ13" i="11"/>
  <c r="BE18" i="11"/>
  <c r="AY13" i="11"/>
  <c r="BB13" i="11"/>
  <c r="BE11" i="11"/>
  <c r="BC19" i="11"/>
  <c r="AU48" i="12"/>
  <c r="E154" i="12" s="1"/>
  <c r="L18" i="12"/>
  <c r="F145" i="12"/>
  <c r="K153" i="12" s="1"/>
  <c r="G206" i="12"/>
  <c r="M178" i="12"/>
  <c r="O158" i="12"/>
  <c r="AV67" i="12"/>
  <c r="K173" i="12"/>
  <c r="H214" i="12"/>
  <c r="E215" i="12" s="1"/>
  <c r="L218" i="12" s="1"/>
  <c r="H139" i="12"/>
  <c r="AU74" i="12"/>
  <c r="H153" i="12"/>
  <c r="B105" i="12"/>
  <c r="F137" i="12"/>
  <c r="K163" i="12"/>
  <c r="L9" i="12"/>
  <c r="AT66" i="12"/>
  <c r="I228" i="12"/>
  <c r="BC14" i="11"/>
  <c r="BF20" i="11" l="1"/>
  <c r="BF18" i="11"/>
  <c r="K142" i="12"/>
  <c r="K145" i="12" s="1"/>
  <c r="E148" i="12" s="1"/>
  <c r="L69" i="12"/>
  <c r="L15" i="12"/>
  <c r="L66" i="12" s="1"/>
  <c r="L60" i="12"/>
  <c r="T109" i="12"/>
  <c r="T106" i="11"/>
  <c r="T107" i="11" s="1"/>
  <c r="T108" i="11" s="1"/>
  <c r="T109" i="11" s="1"/>
  <c r="T110" i="11" s="1"/>
  <c r="BC13" i="11"/>
  <c r="L21" i="12"/>
  <c r="H148" i="12"/>
  <c r="Q157" i="12"/>
  <c r="S201" i="12"/>
  <c r="Q178" i="12"/>
  <c r="N158" i="12"/>
  <c r="D205" i="12"/>
  <c r="I178" i="12"/>
  <c r="M157" i="12"/>
  <c r="N44" i="12"/>
  <c r="N95" i="12" s="1"/>
  <c r="H42" i="12"/>
  <c r="K131" i="12"/>
  <c r="K137" i="12" s="1"/>
  <c r="AN44" i="11"/>
  <c r="AT44" i="11"/>
  <c r="AN30" i="4"/>
  <c r="AT30" i="4"/>
  <c r="AN39" i="1"/>
  <c r="AP39" i="1" s="1"/>
  <c r="AT39" i="1"/>
  <c r="M7" i="12" l="1"/>
  <c r="T111" i="11"/>
  <c r="T112" i="11" s="1"/>
  <c r="T113" i="11" s="1"/>
  <c r="T114" i="11" s="1"/>
  <c r="T115" i="11" s="1"/>
  <c r="T116" i="11" s="1"/>
  <c r="T117" i="11" s="1"/>
  <c r="T118" i="11" s="1"/>
  <c r="T119" i="11" s="1"/>
  <c r="T120" i="11" s="1"/>
  <c r="T121" i="11" s="1"/>
  <c r="T122" i="11" s="1"/>
  <c r="T123" i="11" s="1"/>
  <c r="T124" i="11" s="1"/>
  <c r="T125" i="11" s="1"/>
  <c r="T126" i="11" s="1"/>
  <c r="T127" i="11" s="1"/>
  <c r="M16" i="12"/>
  <c r="L72" i="12"/>
  <c r="K148" i="12"/>
  <c r="N148" i="12" s="1"/>
  <c r="K157" i="12" s="1"/>
  <c r="T110" i="12"/>
  <c r="T111" i="12" s="1"/>
  <c r="T112" i="12" s="1"/>
  <c r="T113" i="12" s="1"/>
  <c r="T114" i="12" s="1"/>
  <c r="T115" i="12" s="1"/>
  <c r="H93" i="12"/>
  <c r="BF19" i="11"/>
  <c r="E139" i="12"/>
  <c r="K139" i="12" s="1"/>
  <c r="Q151" i="1"/>
  <c r="Q155" i="11"/>
  <c r="O155" i="11"/>
  <c r="K155" i="11"/>
  <c r="I155" i="11"/>
  <c r="E144" i="11"/>
  <c r="N135" i="11"/>
  <c r="F135" i="11"/>
  <c r="C135" i="11"/>
  <c r="N134" i="11"/>
  <c r="F134" i="11"/>
  <c r="C134" i="11"/>
  <c r="N133" i="11"/>
  <c r="F133" i="11"/>
  <c r="C133" i="11"/>
  <c r="N127" i="11"/>
  <c r="F127" i="11"/>
  <c r="C127" i="11"/>
  <c r="N126" i="11"/>
  <c r="F126" i="11"/>
  <c r="C126" i="11"/>
  <c r="N125" i="11"/>
  <c r="F125" i="11"/>
  <c r="C125" i="11"/>
  <c r="N124" i="11"/>
  <c r="F124" i="11"/>
  <c r="C124" i="11"/>
  <c r="N123" i="11"/>
  <c r="F123" i="11"/>
  <c r="C123" i="11"/>
  <c r="N122" i="11"/>
  <c r="F122" i="11"/>
  <c r="C122" i="11"/>
  <c r="AV44" i="11"/>
  <c r="AR44" i="11"/>
  <c r="G21" i="11"/>
  <c r="G68" i="11" s="1"/>
  <c r="L20" i="11"/>
  <c r="H135" i="11"/>
  <c r="L19" i="11"/>
  <c r="H134" i="11"/>
  <c r="H133" i="11"/>
  <c r="L14" i="11"/>
  <c r="H127" i="11"/>
  <c r="L13" i="11"/>
  <c r="H126" i="11"/>
  <c r="L12" i="11"/>
  <c r="H125" i="11"/>
  <c r="L11" i="11"/>
  <c r="H124" i="11"/>
  <c r="L10" i="11"/>
  <c r="H123" i="11"/>
  <c r="H122" i="11"/>
  <c r="AX16" i="11"/>
  <c r="AW16" i="11"/>
  <c r="AU16" i="11"/>
  <c r="BE14" i="11"/>
  <c r="AX15" i="11"/>
  <c r="AY15" i="11" s="1"/>
  <c r="AW15" i="11"/>
  <c r="AU15" i="11"/>
  <c r="AX12" i="11"/>
  <c r="AW12" i="11"/>
  <c r="AV12" i="11"/>
  <c r="AU12" i="11"/>
  <c r="Q101" i="4"/>
  <c r="N101" i="4"/>
  <c r="K101" i="4"/>
  <c r="H101" i="4"/>
  <c r="B101" i="4"/>
  <c r="C91" i="4"/>
  <c r="C90" i="4"/>
  <c r="C89" i="4"/>
  <c r="T33" i="4"/>
  <c r="T34" i="4" s="1"/>
  <c r="T35" i="4" s="1"/>
  <c r="T36" i="4" s="1"/>
  <c r="T37" i="4" s="1"/>
  <c r="T38" i="4" s="1"/>
  <c r="T39" i="4" s="1"/>
  <c r="T40" i="4" s="1"/>
  <c r="T41" i="4" s="1"/>
  <c r="T42" i="4" s="1"/>
  <c r="T43" i="4" s="1"/>
  <c r="T44" i="4" s="1"/>
  <c r="T45" i="4" s="1"/>
  <c r="T46" i="4" s="1"/>
  <c r="T47" i="4" s="1"/>
  <c r="T48" i="4" s="1"/>
  <c r="T49" i="4" s="1"/>
  <c r="T50" i="4" s="1"/>
  <c r="T51" i="4" s="1"/>
  <c r="T52" i="4" s="1"/>
  <c r="T53" i="4" s="1"/>
  <c r="T54" i="4" s="1"/>
  <c r="O106" i="4"/>
  <c r="M106" i="4"/>
  <c r="AR30" i="4"/>
  <c r="K106" i="4" s="1"/>
  <c r="E106" i="4"/>
  <c r="N91" i="4"/>
  <c r="H91" i="4"/>
  <c r="N12" i="4"/>
  <c r="G12" i="4"/>
  <c r="N11" i="4"/>
  <c r="G11" i="4"/>
  <c r="G42" i="4" s="1"/>
  <c r="AS8" i="4"/>
  <c r="AQ8" i="4"/>
  <c r="AP8" i="4"/>
  <c r="N151" i="1"/>
  <c r="K151" i="1"/>
  <c r="H151" i="1"/>
  <c r="B151" i="1"/>
  <c r="N140" i="1"/>
  <c r="E140" i="1"/>
  <c r="N131" i="1"/>
  <c r="F131" i="1"/>
  <c r="C131" i="1"/>
  <c r="N130" i="1"/>
  <c r="F130" i="1"/>
  <c r="C130" i="1"/>
  <c r="N129" i="1"/>
  <c r="F129" i="1"/>
  <c r="C129" i="1"/>
  <c r="N123" i="1"/>
  <c r="F123" i="1"/>
  <c r="C123" i="1"/>
  <c r="N122" i="1"/>
  <c r="F122" i="1"/>
  <c r="C122" i="1"/>
  <c r="N121" i="1"/>
  <c r="F121" i="1"/>
  <c r="C121" i="1"/>
  <c r="N120" i="1"/>
  <c r="F120" i="1"/>
  <c r="C120" i="1"/>
  <c r="N119" i="1"/>
  <c r="F119" i="1"/>
  <c r="C119" i="1"/>
  <c r="N118" i="1"/>
  <c r="F118" i="1"/>
  <c r="C118" i="1"/>
  <c r="T48" i="1"/>
  <c r="T49" i="1" s="1"/>
  <c r="AR39" i="1"/>
  <c r="K156" i="1" s="1"/>
  <c r="E156" i="1"/>
  <c r="G21" i="1"/>
  <c r="L20" i="1"/>
  <c r="H131" i="1"/>
  <c r="L19" i="1"/>
  <c r="H130" i="1"/>
  <c r="H129" i="1"/>
  <c r="L14" i="1"/>
  <c r="L13" i="1"/>
  <c r="L12" i="1"/>
  <c r="H121" i="1"/>
  <c r="L11" i="1"/>
  <c r="H119" i="1"/>
  <c r="H118" i="1"/>
  <c r="AY16" i="11" l="1"/>
  <c r="AY17" i="11"/>
  <c r="BC17" i="11" s="1"/>
  <c r="N162" i="11"/>
  <c r="E162" i="11"/>
  <c r="J162" i="11"/>
  <c r="L162" i="11"/>
  <c r="O36" i="1"/>
  <c r="O81" i="1" s="1"/>
  <c r="O35" i="1"/>
  <c r="O80" i="1" s="1"/>
  <c r="M58" i="12"/>
  <c r="K131" i="1"/>
  <c r="L65" i="1"/>
  <c r="K130" i="1"/>
  <c r="L64" i="1"/>
  <c r="E159" i="12"/>
  <c r="Q163" i="12" s="1"/>
  <c r="M67" i="12"/>
  <c r="K123" i="11"/>
  <c r="L57" i="11"/>
  <c r="K125" i="11"/>
  <c r="L59" i="11"/>
  <c r="K127" i="11"/>
  <c r="L61" i="11"/>
  <c r="K135" i="11"/>
  <c r="L67" i="11"/>
  <c r="K124" i="11"/>
  <c r="L58" i="11"/>
  <c r="K126" i="11"/>
  <c r="L60" i="11"/>
  <c r="K134" i="11"/>
  <c r="L66" i="11"/>
  <c r="F90" i="4"/>
  <c r="G43" i="4"/>
  <c r="T55" i="4"/>
  <c r="T56" i="4" s="1"/>
  <c r="T57" i="4" s="1"/>
  <c r="T58" i="4" s="1"/>
  <c r="T59" i="4" s="1"/>
  <c r="T60" i="4" s="1"/>
  <c r="N89" i="4"/>
  <c r="N42" i="4"/>
  <c r="N90" i="4"/>
  <c r="N43" i="4"/>
  <c r="K120" i="1"/>
  <c r="L56" i="1"/>
  <c r="K123" i="1"/>
  <c r="L59" i="1"/>
  <c r="T50" i="1"/>
  <c r="K121" i="1"/>
  <c r="L57" i="1"/>
  <c r="K122" i="1"/>
  <c r="L58" i="1"/>
  <c r="T116" i="12"/>
  <c r="T122" i="12" s="1"/>
  <c r="T123" i="12" s="1"/>
  <c r="T124" i="12" s="1"/>
  <c r="T125" i="12" s="1"/>
  <c r="T126" i="12" s="1"/>
  <c r="T127" i="12" s="1"/>
  <c r="T128" i="12" s="1"/>
  <c r="T129" i="12" s="1"/>
  <c r="T130" i="12" s="1"/>
  <c r="T131" i="12" s="1"/>
  <c r="T132" i="12" s="1"/>
  <c r="T133" i="12" s="1"/>
  <c r="T134" i="12" s="1"/>
  <c r="T135" i="12" s="1"/>
  <c r="T136" i="12" s="1"/>
  <c r="T137" i="12" s="1"/>
  <c r="T138" i="12" s="1"/>
  <c r="T139" i="12" s="1"/>
  <c r="T140" i="12" s="1"/>
  <c r="T141" i="12" s="1"/>
  <c r="T142" i="12" s="1"/>
  <c r="T143" i="12" s="1"/>
  <c r="T144" i="12" s="1"/>
  <c r="T145" i="12" s="1"/>
  <c r="T146" i="12" s="1"/>
  <c r="T147" i="12" s="1"/>
  <c r="T148" i="12" s="1"/>
  <c r="T149" i="12" s="1"/>
  <c r="T150" i="12" s="1"/>
  <c r="T151" i="12" s="1"/>
  <c r="T152" i="12" s="1"/>
  <c r="T153" i="12" s="1"/>
  <c r="T154" i="12" s="1"/>
  <c r="T155" i="12" s="1"/>
  <c r="T128" i="11"/>
  <c r="T129" i="11" s="1"/>
  <c r="T130" i="11" s="1"/>
  <c r="T131" i="11" s="1"/>
  <c r="T132" i="11" s="1"/>
  <c r="T133" i="11" s="1"/>
  <c r="T134" i="11" s="1"/>
  <c r="T135" i="11" s="1"/>
  <c r="T136" i="11" s="1"/>
  <c r="T137" i="11" s="1"/>
  <c r="T138" i="11" s="1"/>
  <c r="T139" i="11" s="1"/>
  <c r="T140" i="11" s="1"/>
  <c r="T141" i="11" s="1"/>
  <c r="T142" i="11" s="1"/>
  <c r="T143" i="11" s="1"/>
  <c r="T144" i="11" s="1"/>
  <c r="T145" i="11" s="1"/>
  <c r="T146" i="11" s="1"/>
  <c r="L18" i="11"/>
  <c r="AU50" i="11"/>
  <c r="E145" i="11" s="1"/>
  <c r="H173" i="12"/>
  <c r="N139" i="12"/>
  <c r="L10" i="1"/>
  <c r="L18" i="1"/>
  <c r="BC15" i="11"/>
  <c r="BC16" i="11"/>
  <c r="BE13" i="11"/>
  <c r="BF13" i="11" s="1"/>
  <c r="BE15" i="11"/>
  <c r="BF15" i="11" s="1"/>
  <c r="H257" i="11"/>
  <c r="E258" i="11" s="1"/>
  <c r="H261" i="11" s="1"/>
  <c r="H144" i="11"/>
  <c r="H130" i="11"/>
  <c r="M213" i="11"/>
  <c r="H233" i="1"/>
  <c r="E234" i="1" s="1"/>
  <c r="H237" i="1" s="1"/>
  <c r="H140" i="1"/>
  <c r="AP43" i="1"/>
  <c r="E141" i="1" s="1"/>
  <c r="H41" i="1" s="1"/>
  <c r="H86" i="1" s="1"/>
  <c r="H126" i="1"/>
  <c r="M189" i="1"/>
  <c r="AY12" i="11"/>
  <c r="F128" i="11"/>
  <c r="O38" i="11"/>
  <c r="Q85" i="11" s="1"/>
  <c r="L9" i="11"/>
  <c r="L56" i="11" s="1"/>
  <c r="AZ12" i="11"/>
  <c r="AV69" i="11"/>
  <c r="F136" i="11"/>
  <c r="H139" i="11" s="1"/>
  <c r="N45" i="11"/>
  <c r="N92" i="11" s="1"/>
  <c r="L9" i="1"/>
  <c r="L54" i="1" s="1"/>
  <c r="AU64" i="1"/>
  <c r="F132" i="1"/>
  <c r="Q144" i="1" s="1"/>
  <c r="AV60" i="1"/>
  <c r="AX60" i="1"/>
  <c r="B92" i="1"/>
  <c r="AU8" i="4"/>
  <c r="AT8" i="4"/>
  <c r="AX43" i="4"/>
  <c r="L13" i="4"/>
  <c r="E193" i="4"/>
  <c r="N28" i="4" s="1"/>
  <c r="N59" i="4" s="1"/>
  <c r="G14" i="4"/>
  <c r="F89" i="4"/>
  <c r="L12" i="4"/>
  <c r="E243" i="1"/>
  <c r="N43" i="1" s="1"/>
  <c r="N88" i="1" s="1"/>
  <c r="O156" i="1"/>
  <c r="H123" i="1"/>
  <c r="H89" i="4"/>
  <c r="L11" i="4"/>
  <c r="L42" i="4" s="1"/>
  <c r="H90" i="4"/>
  <c r="F124" i="1"/>
  <c r="F91" i="4"/>
  <c r="H122" i="1"/>
  <c r="B63" i="4"/>
  <c r="AT42" i="4"/>
  <c r="AT59" i="1"/>
  <c r="H120" i="1"/>
  <c r="M156" i="1"/>
  <c r="AV43" i="4"/>
  <c r="B96" i="11"/>
  <c r="AY64" i="11"/>
  <c r="AU63" i="11"/>
  <c r="AW64" i="11"/>
  <c r="T147" i="11" l="1"/>
  <c r="T148" i="11" s="1"/>
  <c r="T149" i="11" s="1"/>
  <c r="T150" i="11" s="1"/>
  <c r="T151" i="11" s="1"/>
  <c r="T154" i="11" s="1"/>
  <c r="T155" i="11" s="1"/>
  <c r="T63" i="4"/>
  <c r="T64" i="4" s="1"/>
  <c r="T65" i="4" s="1"/>
  <c r="T66" i="4" s="1"/>
  <c r="T67" i="4" s="1"/>
  <c r="T68" i="4" s="1"/>
  <c r="T69" i="4" s="1"/>
  <c r="T70" i="4" s="1"/>
  <c r="T71" i="4" s="1"/>
  <c r="T72" i="4" s="1"/>
  <c r="T73" i="4" s="1"/>
  <c r="T74" i="4" s="1"/>
  <c r="T83" i="4" s="1"/>
  <c r="T84" i="4" s="1"/>
  <c r="T85" i="4" s="1"/>
  <c r="T61" i="4"/>
  <c r="T92" i="1"/>
  <c r="T93" i="1" s="1"/>
  <c r="T94" i="1" s="1"/>
  <c r="T95" i="1" s="1"/>
  <c r="T96" i="1" s="1"/>
  <c r="K129" i="1"/>
  <c r="K132" i="1" s="1"/>
  <c r="E135" i="1" s="1"/>
  <c r="L63" i="1"/>
  <c r="N42" i="12"/>
  <c r="E164" i="12"/>
  <c r="I159" i="12"/>
  <c r="K133" i="11"/>
  <c r="K136" i="11" s="1"/>
  <c r="E139" i="11" s="1"/>
  <c r="K139" i="11" s="1"/>
  <c r="N139" i="11" s="1"/>
  <c r="K148" i="11" s="1"/>
  <c r="L65" i="11"/>
  <c r="AU48" i="4"/>
  <c r="G45" i="4"/>
  <c r="K90" i="4"/>
  <c r="L43" i="4"/>
  <c r="K91" i="4"/>
  <c r="L44" i="4"/>
  <c r="K119" i="1"/>
  <c r="L55" i="1"/>
  <c r="K118" i="1"/>
  <c r="L15" i="1"/>
  <c r="L60" i="1" s="1"/>
  <c r="K122" i="11"/>
  <c r="K128" i="11" s="1"/>
  <c r="L15" i="11"/>
  <c r="T160" i="12"/>
  <c r="T162" i="12" s="1"/>
  <c r="T163" i="12" s="1"/>
  <c r="T164" i="12" s="1"/>
  <c r="T165" i="12" s="1"/>
  <c r="L21" i="1"/>
  <c r="M139" i="4"/>
  <c r="H183" i="4"/>
  <c r="E184" i="4" s="1"/>
  <c r="H187" i="4" s="1"/>
  <c r="I95" i="4"/>
  <c r="L21" i="11"/>
  <c r="BC12" i="11"/>
  <c r="Q148" i="11"/>
  <c r="S168" i="4"/>
  <c r="Q144" i="4"/>
  <c r="G173" i="4"/>
  <c r="M144" i="4"/>
  <c r="D172" i="4"/>
  <c r="I144" i="4"/>
  <c r="M218" i="11"/>
  <c r="O149" i="11"/>
  <c r="G247" i="11"/>
  <c r="S242" i="11"/>
  <c r="Q218" i="11"/>
  <c r="N149" i="11"/>
  <c r="M148" i="11"/>
  <c r="D246" i="11"/>
  <c r="I218" i="11"/>
  <c r="G223" i="1"/>
  <c r="M194" i="1"/>
  <c r="O145" i="1"/>
  <c r="D222" i="1"/>
  <c r="M144" i="1"/>
  <c r="I194" i="1"/>
  <c r="S218" i="1"/>
  <c r="N145" i="1"/>
  <c r="Q194" i="1"/>
  <c r="K144" i="11"/>
  <c r="H135" i="1"/>
  <c r="K140" i="1"/>
  <c r="AW8" i="4"/>
  <c r="AL30" i="4" s="1"/>
  <c r="F92" i="4"/>
  <c r="H43" i="11"/>
  <c r="H90" i="11" s="1"/>
  <c r="K89" i="4"/>
  <c r="L14" i="4"/>
  <c r="L45" i="4" s="1"/>
  <c r="BF14" i="11" l="1"/>
  <c r="AL44" i="11" s="1"/>
  <c r="C162" i="11" s="1"/>
  <c r="K40" i="4"/>
  <c r="N172" i="12"/>
  <c r="AR51" i="12"/>
  <c r="T156" i="11"/>
  <c r="T157" i="11" s="1"/>
  <c r="T158" i="11" s="1"/>
  <c r="K135" i="1"/>
  <c r="N135" i="1" s="1"/>
  <c r="K144" i="1" s="1"/>
  <c r="K92" i="4"/>
  <c r="T86" i="4"/>
  <c r="T87" i="4" s="1"/>
  <c r="T88" i="4" s="1"/>
  <c r="T89" i="4" s="1"/>
  <c r="T90" i="4" s="1"/>
  <c r="T91" i="4" s="1"/>
  <c r="T92" i="4" s="1"/>
  <c r="T93" i="4" s="1"/>
  <c r="T94" i="4" s="1"/>
  <c r="T95" i="4" s="1"/>
  <c r="T96" i="4" s="1"/>
  <c r="T97" i="4" s="1"/>
  <c r="T98" i="4" s="1"/>
  <c r="M7" i="1"/>
  <c r="K124" i="1"/>
  <c r="M16" i="1"/>
  <c r="M61" i="1" s="1"/>
  <c r="L66" i="1"/>
  <c r="H172" i="12"/>
  <c r="H50" i="12"/>
  <c r="H101" i="12" s="1"/>
  <c r="F234" i="12"/>
  <c r="N93" i="12"/>
  <c r="Q42" i="12"/>
  <c r="Q93" i="12" s="1"/>
  <c r="M16" i="11"/>
  <c r="L68" i="11"/>
  <c r="M7" i="11"/>
  <c r="L62" i="11"/>
  <c r="T166" i="12"/>
  <c r="T167" i="12" s="1"/>
  <c r="T168" i="12" s="1"/>
  <c r="T169" i="12" s="1"/>
  <c r="T170" i="12" s="1"/>
  <c r="B106" i="4"/>
  <c r="AP30" i="4"/>
  <c r="AX30" i="4" s="1"/>
  <c r="T97" i="1"/>
  <c r="T98" i="1" s="1"/>
  <c r="T99" i="1" s="1"/>
  <c r="T100" i="1" s="1"/>
  <c r="T101" i="1" s="1"/>
  <c r="T102" i="1" s="1"/>
  <c r="T103" i="1" s="1"/>
  <c r="T104" i="1" s="1"/>
  <c r="T105" i="1" s="1"/>
  <c r="T106" i="1" s="1"/>
  <c r="T107" i="1" s="1"/>
  <c r="T108" i="1" s="1"/>
  <c r="E95" i="4"/>
  <c r="M95" i="4" s="1"/>
  <c r="K9" i="4"/>
  <c r="E130" i="11"/>
  <c r="K130" i="11" s="1"/>
  <c r="E126" i="1"/>
  <c r="K126" i="1" s="1"/>
  <c r="M52" i="1" l="1"/>
  <c r="AO56" i="12"/>
  <c r="F199" i="12" s="1"/>
  <c r="AU56" i="12"/>
  <c r="T99" i="4"/>
  <c r="T100" i="4" s="1"/>
  <c r="T101" i="4" s="1"/>
  <c r="T102" i="4" s="1"/>
  <c r="T103" i="4" s="1"/>
  <c r="T104" i="4" s="1"/>
  <c r="T105" i="4" s="1"/>
  <c r="T106" i="4" s="1"/>
  <c r="T107" i="4" s="1"/>
  <c r="AP44" i="11"/>
  <c r="F198" i="12"/>
  <c r="H209" i="12"/>
  <c r="AO58" i="12"/>
  <c r="AY56" i="12"/>
  <c r="P199" i="12" s="1"/>
  <c r="O201" i="12" s="1"/>
  <c r="T159" i="11"/>
  <c r="T160" i="11" s="1"/>
  <c r="T161" i="11" s="1"/>
  <c r="T162" i="11" s="1"/>
  <c r="T163" i="11" s="1"/>
  <c r="T164" i="11" s="1"/>
  <c r="T165" i="11" s="1"/>
  <c r="T166" i="11" s="1"/>
  <c r="T167" i="11" s="1"/>
  <c r="T168" i="11" s="1"/>
  <c r="T169" i="11" s="1"/>
  <c r="T170" i="11" s="1"/>
  <c r="T171" i="11" s="1"/>
  <c r="T172" i="11" s="1"/>
  <c r="T173" i="11" s="1"/>
  <c r="T174" i="11" s="1"/>
  <c r="T175" i="11" s="1"/>
  <c r="T176" i="11" s="1"/>
  <c r="T177" i="11" s="1"/>
  <c r="T178" i="11" s="1"/>
  <c r="T179" i="11" s="1"/>
  <c r="T180" i="11" s="1"/>
  <c r="T181" i="11" s="1"/>
  <c r="T182" i="11" s="1"/>
  <c r="T183" i="11" s="1"/>
  <c r="T184" i="11" s="1"/>
  <c r="T185" i="11" s="1"/>
  <c r="T186" i="11" s="1"/>
  <c r="M54" i="11"/>
  <c r="E146" i="1"/>
  <c r="N41" i="1" s="1"/>
  <c r="T109" i="1"/>
  <c r="T110" i="1" s="1"/>
  <c r="T111" i="1" s="1"/>
  <c r="T112" i="1" s="1"/>
  <c r="T113" i="1" s="1"/>
  <c r="T114" i="1" s="1"/>
  <c r="T115" i="1" s="1"/>
  <c r="T116" i="1" s="1"/>
  <c r="T117" i="1" s="1"/>
  <c r="T118" i="1" s="1"/>
  <c r="T119" i="1" s="1"/>
  <c r="T120" i="1" s="1"/>
  <c r="T121" i="1" s="1"/>
  <c r="T122" i="1" s="1"/>
  <c r="T123" i="1" s="1"/>
  <c r="T124" i="1" s="1"/>
  <c r="E150" i="11"/>
  <c r="I150" i="11" s="1"/>
  <c r="M63" i="11"/>
  <c r="T171" i="12"/>
  <c r="T172" i="12" s="1"/>
  <c r="T173" i="12" s="1"/>
  <c r="T174" i="12" s="1"/>
  <c r="T175" i="12" s="1"/>
  <c r="T176" i="12" s="1"/>
  <c r="T177" i="12" s="1"/>
  <c r="T178" i="12" s="1"/>
  <c r="T179" i="12" s="1"/>
  <c r="T180" i="12" s="1"/>
  <c r="M96" i="4"/>
  <c r="J139" i="4" s="1"/>
  <c r="AS26" i="4"/>
  <c r="AO34" i="4" s="1"/>
  <c r="AX39" i="1"/>
  <c r="N130" i="11"/>
  <c r="J213" i="11" s="1"/>
  <c r="B156" i="1"/>
  <c r="N126" i="1"/>
  <c r="J189" i="1" s="1"/>
  <c r="Q106" i="4"/>
  <c r="E139" i="4" s="1"/>
  <c r="H106" i="4"/>
  <c r="AX44" i="11" l="1"/>
  <c r="P162" i="11" s="1"/>
  <c r="G162" i="11"/>
  <c r="K199" i="12"/>
  <c r="AV59" i="12"/>
  <c r="J205" i="12" s="1"/>
  <c r="I146" i="1"/>
  <c r="N43" i="11"/>
  <c r="Q43" i="11" s="1"/>
  <c r="Q90" i="11" s="1"/>
  <c r="Q41" i="1"/>
  <c r="Q86" i="1" s="1"/>
  <c r="N86" i="1"/>
  <c r="T109" i="4"/>
  <c r="T110" i="4" s="1"/>
  <c r="T111" i="4" s="1"/>
  <c r="T112" i="4" s="1"/>
  <c r="T113" i="4" s="1"/>
  <c r="T114" i="4" s="1"/>
  <c r="T115" i="4" s="1"/>
  <c r="T116" i="4" s="1"/>
  <c r="T118" i="4" s="1"/>
  <c r="T119" i="4" s="1"/>
  <c r="T120" i="4" s="1"/>
  <c r="T121" i="4" s="1"/>
  <c r="T122" i="4" s="1"/>
  <c r="T123" i="4" s="1"/>
  <c r="T181" i="12"/>
  <c r="T182" i="12" s="1"/>
  <c r="T183" i="12" s="1"/>
  <c r="T184" i="12" s="1"/>
  <c r="T185" i="12" s="1"/>
  <c r="T186" i="12" s="1"/>
  <c r="T187" i="12" s="1"/>
  <c r="AS45" i="1"/>
  <c r="T187" i="11"/>
  <c r="T188" i="11" s="1"/>
  <c r="T189" i="11" s="1"/>
  <c r="AU34" i="4"/>
  <c r="T125" i="1"/>
  <c r="T126" i="1" s="1"/>
  <c r="T127" i="1" s="1"/>
  <c r="T128" i="1" s="1"/>
  <c r="T129" i="1" s="1"/>
  <c r="T130" i="1" s="1"/>
  <c r="T131" i="1" s="1"/>
  <c r="T132" i="1" s="1"/>
  <c r="T133" i="1" s="1"/>
  <c r="T134" i="1" s="1"/>
  <c r="T135" i="1" s="1"/>
  <c r="T136" i="1" s="1"/>
  <c r="Q156" i="1"/>
  <c r="E189" i="1" s="1"/>
  <c r="P189" i="1" s="1"/>
  <c r="AO35" i="4"/>
  <c r="AY34" i="4"/>
  <c r="P166" i="4" s="1"/>
  <c r="O168" i="4" s="1"/>
  <c r="H156" i="1"/>
  <c r="E202" i="12"/>
  <c r="K201" i="12"/>
  <c r="P139" i="4"/>
  <c r="AS42" i="11" l="1"/>
  <c r="AU54" i="11" s="1"/>
  <c r="K240" i="11" s="1"/>
  <c r="H242" i="11" s="1"/>
  <c r="AU58" i="12"/>
  <c r="AO59" i="12" s="1"/>
  <c r="E211" i="12" s="1"/>
  <c r="E213" i="11"/>
  <c r="P213" i="11" s="1"/>
  <c r="N90" i="11"/>
  <c r="J176" i="4"/>
  <c r="L165" i="4"/>
  <c r="J226" i="1"/>
  <c r="L215" i="1"/>
  <c r="T137" i="1"/>
  <c r="T138" i="1" s="1"/>
  <c r="T139" i="1" s="1"/>
  <c r="T140" i="1" s="1"/>
  <c r="T141" i="1" s="1"/>
  <c r="T142" i="1" s="1"/>
  <c r="T188" i="12"/>
  <c r="T189" i="12" s="1"/>
  <c r="T190" i="12" s="1"/>
  <c r="T191" i="12" s="1"/>
  <c r="T192" i="12" s="1"/>
  <c r="T193" i="12" s="1"/>
  <c r="T194" i="12" s="1"/>
  <c r="AU50" i="1"/>
  <c r="K216" i="1" s="1"/>
  <c r="T124" i="4"/>
  <c r="T125" i="4" s="1"/>
  <c r="T126" i="4" s="1"/>
  <c r="T127" i="4" s="1"/>
  <c r="T128" i="4" s="1"/>
  <c r="T129" i="4" s="1"/>
  <c r="T130" i="4" s="1"/>
  <c r="T131" i="4" s="1"/>
  <c r="T132" i="4" s="1"/>
  <c r="T133" i="4" s="1"/>
  <c r="T134" i="4" s="1"/>
  <c r="T135" i="4" s="1"/>
  <c r="T136" i="4" s="1"/>
  <c r="T137" i="4" s="1"/>
  <c r="T138" i="4" s="1"/>
  <c r="T139" i="4" s="1"/>
  <c r="T140" i="4" s="1"/>
  <c r="T190" i="11"/>
  <c r="T191" i="11" s="1"/>
  <c r="T192" i="11" s="1"/>
  <c r="T193" i="11" s="1"/>
  <c r="T194" i="11" s="1"/>
  <c r="AV36" i="4"/>
  <c r="AU35" i="4" s="1"/>
  <c r="F166" i="4"/>
  <c r="K168" i="4" s="1"/>
  <c r="AY50" i="1"/>
  <c r="P216" i="1" s="1"/>
  <c r="O218" i="1" s="1"/>
  <c r="AO52" i="1"/>
  <c r="AO50" i="1"/>
  <c r="F216" i="1" s="1"/>
  <c r="E219" i="1" s="1"/>
  <c r="E201" i="12"/>
  <c r="H201" i="12"/>
  <c r="D206" i="12"/>
  <c r="L209" i="12"/>
  <c r="K166" i="4"/>
  <c r="AO56" i="11" l="1"/>
  <c r="AO54" i="11"/>
  <c r="F240" i="11" s="1"/>
  <c r="E243" i="11" s="1"/>
  <c r="AY54" i="11"/>
  <c r="P240" i="11" s="1"/>
  <c r="O242" i="11" s="1"/>
  <c r="AU72" i="12"/>
  <c r="T143" i="1"/>
  <c r="T144" i="1" s="1"/>
  <c r="T145" i="1" s="1"/>
  <c r="T146" i="1" s="1"/>
  <c r="T147" i="1" s="1"/>
  <c r="T149" i="1"/>
  <c r="T150" i="1" s="1"/>
  <c r="T151" i="1" s="1"/>
  <c r="T152" i="1" s="1"/>
  <c r="T153" i="1" s="1"/>
  <c r="T154" i="1" s="1"/>
  <c r="T155" i="1" s="1"/>
  <c r="T156" i="1" s="1"/>
  <c r="T157" i="1" s="1"/>
  <c r="T158" i="1" s="1"/>
  <c r="T159" i="1" s="1"/>
  <c r="T160" i="1" s="1"/>
  <c r="T161" i="1" s="1"/>
  <c r="T162" i="1" s="1"/>
  <c r="T163" i="1" s="1"/>
  <c r="T164" i="1" s="1"/>
  <c r="T165" i="1" s="1"/>
  <c r="T166" i="1" s="1"/>
  <c r="T167" i="1" s="1"/>
  <c r="T168" i="1" s="1"/>
  <c r="T169" i="1" s="1"/>
  <c r="T170" i="1" s="1"/>
  <c r="T171" i="1" s="1"/>
  <c r="T172" i="1" s="1"/>
  <c r="T173" i="1" s="1"/>
  <c r="T174" i="1" s="1"/>
  <c r="T175" i="1" s="1"/>
  <c r="T176" i="1" s="1"/>
  <c r="T177" i="1" s="1"/>
  <c r="T178" i="1" s="1"/>
  <c r="T179" i="1" s="1"/>
  <c r="T180" i="1" s="1"/>
  <c r="T181" i="1" s="1"/>
  <c r="T182" i="1" s="1"/>
  <c r="T183" i="1" s="1"/>
  <c r="T184" i="1" s="1"/>
  <c r="T185" i="1" s="1"/>
  <c r="T186" i="1" s="1"/>
  <c r="T187" i="1" s="1"/>
  <c r="T188" i="1" s="1"/>
  <c r="T189" i="1" s="1"/>
  <c r="T190" i="1" s="1"/>
  <c r="T191" i="1" s="1"/>
  <c r="T192" i="1" s="1"/>
  <c r="T193" i="1" s="1"/>
  <c r="T194" i="1" s="1"/>
  <c r="T195" i="1" s="1"/>
  <c r="D203" i="12"/>
  <c r="T195" i="11"/>
  <c r="T196" i="11" s="1"/>
  <c r="T197" i="11" s="1"/>
  <c r="T198" i="11" s="1"/>
  <c r="T199" i="11" s="1"/>
  <c r="T200" i="11" s="1"/>
  <c r="T201" i="11" s="1"/>
  <c r="T202" i="11" s="1"/>
  <c r="T203" i="11" s="1"/>
  <c r="T204" i="11" s="1"/>
  <c r="T205" i="11" s="1"/>
  <c r="T206" i="11" s="1"/>
  <c r="T207" i="11" s="1"/>
  <c r="T208" i="11" s="1"/>
  <c r="T209" i="11" s="1"/>
  <c r="T211" i="11" s="1"/>
  <c r="T212" i="11" s="1"/>
  <c r="T213" i="11" s="1"/>
  <c r="T214" i="11" s="1"/>
  <c r="J250" i="11"/>
  <c r="L239" i="11"/>
  <c r="T141" i="4"/>
  <c r="T142" i="4" s="1"/>
  <c r="T143" i="4" s="1"/>
  <c r="T144" i="4" s="1"/>
  <c r="T145" i="4" s="1"/>
  <c r="T146" i="4" s="1"/>
  <c r="T147" i="4" s="1"/>
  <c r="T148" i="4" s="1"/>
  <c r="T149" i="4" s="1"/>
  <c r="T150" i="4" s="1"/>
  <c r="T151" i="4" s="1"/>
  <c r="T152" i="4" s="1"/>
  <c r="T153" i="4" s="1"/>
  <c r="T154" i="4" s="1"/>
  <c r="T155" i="4" s="1"/>
  <c r="T195" i="12"/>
  <c r="T196" i="12" s="1"/>
  <c r="T197" i="12" s="1"/>
  <c r="T198" i="12" s="1"/>
  <c r="E169" i="4"/>
  <c r="L176" i="4"/>
  <c r="D173" i="4"/>
  <c r="J172" i="4"/>
  <c r="K218" i="1"/>
  <c r="AV53" i="1"/>
  <c r="D223" i="1" s="1"/>
  <c r="E242" i="11"/>
  <c r="I218" i="12"/>
  <c r="E219" i="12" s="1"/>
  <c r="E209" i="12"/>
  <c r="AO36" i="4"/>
  <c r="E178" i="4" s="1"/>
  <c r="H218" i="1"/>
  <c r="E218" i="1"/>
  <c r="E168" i="4"/>
  <c r="H168" i="4"/>
  <c r="K242" i="11" l="1"/>
  <c r="AV57" i="11"/>
  <c r="AU56" i="11" s="1"/>
  <c r="AO57" i="11" s="1"/>
  <c r="E252" i="11" s="1"/>
  <c r="E261" i="11" s="1"/>
  <c r="E262" i="11" s="1"/>
  <c r="D244" i="11"/>
  <c r="T196" i="1"/>
  <c r="T197" i="1" s="1"/>
  <c r="T198" i="1" s="1"/>
  <c r="T199" i="1" s="1"/>
  <c r="T200" i="1" s="1"/>
  <c r="T201" i="1" s="1"/>
  <c r="H224" i="12"/>
  <c r="H219" i="12"/>
  <c r="T215" i="11"/>
  <c r="T216" i="11" s="1"/>
  <c r="T217" i="11" s="1"/>
  <c r="T218" i="11" s="1"/>
  <c r="T219" i="11" s="1"/>
  <c r="T220" i="11" s="1"/>
  <c r="T221" i="11" s="1"/>
  <c r="T222" i="11" s="1"/>
  <c r="T223" i="11" s="1"/>
  <c r="T224" i="11" s="1"/>
  <c r="T225" i="11" s="1"/>
  <c r="T226" i="11" s="1"/>
  <c r="T227" i="11" s="1"/>
  <c r="T228" i="11" s="1"/>
  <c r="T229" i="11" s="1"/>
  <c r="T230" i="11" s="1"/>
  <c r="T231" i="11" s="1"/>
  <c r="T232" i="11" s="1"/>
  <c r="T233" i="11" s="1"/>
  <c r="D170" i="4"/>
  <c r="D220" i="1"/>
  <c r="T156" i="4"/>
  <c r="T157" i="4" s="1"/>
  <c r="T158" i="4" s="1"/>
  <c r="T159" i="4" s="1"/>
  <c r="T161" i="4" s="1"/>
  <c r="T162" i="4" s="1"/>
  <c r="T163" i="4" s="1"/>
  <c r="T164" i="4" s="1"/>
  <c r="T165" i="4" s="1"/>
  <c r="T166" i="4" s="1"/>
  <c r="T167" i="4" s="1"/>
  <c r="T168" i="4" s="1"/>
  <c r="T169" i="4" s="1"/>
  <c r="T170" i="4" s="1"/>
  <c r="T171" i="4" s="1"/>
  <c r="T172" i="4" s="1"/>
  <c r="T173" i="4" s="1"/>
  <c r="T174" i="4" s="1"/>
  <c r="T203" i="1"/>
  <c r="T204" i="1" s="1"/>
  <c r="T205" i="1" s="1"/>
  <c r="T199" i="12"/>
  <c r="T200" i="12" s="1"/>
  <c r="T201" i="12" s="1"/>
  <c r="T202" i="12" s="1"/>
  <c r="T203" i="12" s="1"/>
  <c r="T204" i="12" s="1"/>
  <c r="T205" i="12" s="1"/>
  <c r="T206" i="12" s="1"/>
  <c r="T207" i="12" s="1"/>
  <c r="AU52" i="1"/>
  <c r="AO53" i="1" s="1"/>
  <c r="L226" i="1"/>
  <c r="J222" i="1"/>
  <c r="K44" i="12"/>
  <c r="F228" i="12"/>
  <c r="O228" i="12" s="1"/>
  <c r="F230" i="12" s="1"/>
  <c r="L230" i="12" s="1"/>
  <c r="E176" i="4"/>
  <c r="AU46" i="4"/>
  <c r="J246" i="11" l="1"/>
  <c r="E250" i="11"/>
  <c r="AV67" i="11"/>
  <c r="L250" i="11"/>
  <c r="D247" i="11"/>
  <c r="H288" i="11"/>
  <c r="H262" i="11"/>
  <c r="K95" i="12"/>
  <c r="K94" i="12" s="1"/>
  <c r="K43" i="12"/>
  <c r="T234" i="11"/>
  <c r="T235" i="11" s="1"/>
  <c r="T236" i="11" s="1"/>
  <c r="T237" i="11" s="1"/>
  <c r="T238" i="11" s="1"/>
  <c r="T239" i="11" s="1"/>
  <c r="T240" i="11" s="1"/>
  <c r="T241" i="11" s="1"/>
  <c r="T242" i="11" s="1"/>
  <c r="T243" i="11" s="1"/>
  <c r="T244" i="11" s="1"/>
  <c r="T245" i="11" s="1"/>
  <c r="T246" i="11" s="1"/>
  <c r="T247" i="11" s="1"/>
  <c r="T248" i="11" s="1"/>
  <c r="T249" i="11" s="1"/>
  <c r="T250" i="11" s="1"/>
  <c r="T251" i="11" s="1"/>
  <c r="T252" i="11" s="1"/>
  <c r="T253" i="11" s="1"/>
  <c r="T254" i="11" s="1"/>
  <c r="T255" i="11" s="1"/>
  <c r="AU62" i="1"/>
  <c r="E228" i="1"/>
  <c r="E237" i="1" s="1"/>
  <c r="E238" i="1" s="1"/>
  <c r="H238" i="1" s="1"/>
  <c r="T176" i="4"/>
  <c r="T177" i="4" s="1"/>
  <c r="T178" i="4" s="1"/>
  <c r="T179" i="4" s="1"/>
  <c r="T180" i="4" s="1"/>
  <c r="T181" i="4" s="1"/>
  <c r="T182" i="4" s="1"/>
  <c r="T183" i="4" s="1"/>
  <c r="T184" i="4" s="1"/>
  <c r="T185" i="4" s="1"/>
  <c r="T186" i="4" s="1"/>
  <c r="T187" i="4" s="1"/>
  <c r="T188" i="4" s="1"/>
  <c r="T189" i="4" s="1"/>
  <c r="T190" i="4" s="1"/>
  <c r="T191" i="4" s="1"/>
  <c r="T192" i="4" s="1"/>
  <c r="T193" i="4" s="1"/>
  <c r="T194" i="4" s="1"/>
  <c r="T206" i="1"/>
  <c r="T207" i="1" s="1"/>
  <c r="T208" i="1" s="1"/>
  <c r="T209" i="1" s="1"/>
  <c r="O248" i="12"/>
  <c r="M235" i="12"/>
  <c r="P234" i="12" s="1"/>
  <c r="Q44" i="12"/>
  <c r="Q95" i="12" s="1"/>
  <c r="R228" i="12"/>
  <c r="N46" i="12"/>
  <c r="E187" i="4"/>
  <c r="E188" i="4" s="1"/>
  <c r="H188" i="4" s="1"/>
  <c r="E226" i="1"/>
  <c r="K45" i="11"/>
  <c r="K44" i="11" l="1"/>
  <c r="K91" i="11" s="1"/>
  <c r="T210" i="1"/>
  <c r="T211" i="1" s="1"/>
  <c r="T212" i="1" s="1"/>
  <c r="T213" i="1" s="1"/>
  <c r="T214" i="1" s="1"/>
  <c r="T215" i="1" s="1"/>
  <c r="T216" i="1" s="1"/>
  <c r="T217" i="1" s="1"/>
  <c r="T218" i="1" s="1"/>
  <c r="T219" i="1" s="1"/>
  <c r="T220" i="1" s="1"/>
  <c r="T221" i="1" s="1"/>
  <c r="T222" i="1" s="1"/>
  <c r="T223" i="1" s="1"/>
  <c r="T224" i="1" s="1"/>
  <c r="T225" i="1" s="1"/>
  <c r="T226" i="1" s="1"/>
  <c r="T227" i="1" s="1"/>
  <c r="T228" i="1" s="1"/>
  <c r="T229" i="1" s="1"/>
  <c r="T230" i="1" s="1"/>
  <c r="T231" i="1" s="1"/>
  <c r="Q45" i="11"/>
  <c r="Q92" i="11" s="1"/>
  <c r="K92" i="11"/>
  <c r="Q46" i="12"/>
  <c r="Q97" i="12" s="1"/>
  <c r="N97" i="12"/>
  <c r="T256" i="11"/>
  <c r="T257" i="11" s="1"/>
  <c r="T258" i="11" s="1"/>
  <c r="T259" i="11" s="1"/>
  <c r="T260" i="11" s="1"/>
  <c r="T261" i="11" s="1"/>
  <c r="T262" i="11" s="1"/>
  <c r="T263" i="11" s="1"/>
  <c r="N241" i="12"/>
  <c r="H193" i="4"/>
  <c r="H243" i="1"/>
  <c r="K43" i="1"/>
  <c r="K42" i="1" s="1"/>
  <c r="K28" i="4"/>
  <c r="K27" i="4" s="1"/>
  <c r="T265" i="11" l="1"/>
  <c r="T266" i="11" s="1"/>
  <c r="T267" i="11" s="1"/>
  <c r="T268" i="11" s="1"/>
  <c r="T269" i="11" s="1"/>
  <c r="T270" i="11" s="1"/>
  <c r="T271" i="11" s="1"/>
  <c r="T272" i="11" s="1"/>
  <c r="T273" i="11" s="1"/>
  <c r="T274" i="11" s="1"/>
  <c r="T275" i="11" s="1"/>
  <c r="T276" i="11" s="1"/>
  <c r="Q28" i="4"/>
  <c r="Q59" i="4" s="1"/>
  <c r="K59" i="4"/>
  <c r="K58" i="4" s="1"/>
  <c r="Q43" i="1"/>
  <c r="Q88" i="1" s="1"/>
  <c r="K88" i="1"/>
  <c r="K87" i="1" s="1"/>
  <c r="T232" i="1"/>
  <c r="T233" i="1" s="1"/>
  <c r="T234" i="1" s="1"/>
  <c r="T235" i="1" s="1"/>
  <c r="T236" i="1" s="1"/>
  <c r="T237" i="1" s="1"/>
  <c r="T238" i="1" s="1"/>
  <c r="T239" i="1" s="1"/>
  <c r="T240" i="1" s="1"/>
  <c r="T241" i="1" s="1"/>
  <c r="T242" i="1" s="1"/>
  <c r="T243" i="1" s="1"/>
  <c r="T244" i="1" s="1"/>
  <c r="T218" i="12"/>
  <c r="T219" i="12" s="1"/>
  <c r="T220" i="12" s="1"/>
  <c r="F243" i="12"/>
  <c r="H48" i="12" s="1"/>
  <c r="H99" i="12" s="1"/>
  <c r="T277" i="11" l="1"/>
  <c r="T278" i="11" s="1"/>
  <c r="T279" i="11" s="1"/>
  <c r="T221" i="12"/>
  <c r="T222" i="12" s="1"/>
  <c r="T223" i="12" s="1"/>
  <c r="T224" i="12" s="1"/>
  <c r="T225" i="12" s="1"/>
  <c r="T226" i="12" s="1"/>
  <c r="T227" i="12" s="1"/>
  <c r="T228" i="12" s="1"/>
  <c r="T229" i="12" s="1"/>
  <c r="T230" i="12" s="1"/>
  <c r="T231" i="12" s="1"/>
  <c r="T232" i="12" s="1"/>
  <c r="T233" i="12" s="1"/>
  <c r="T234" i="12" s="1"/>
  <c r="T235" i="12" s="1"/>
  <c r="T236" i="12" s="1"/>
  <c r="T237" i="12" s="1"/>
  <c r="T238" i="12" s="1"/>
  <c r="T239" i="12" s="1"/>
  <c r="T240" i="12" s="1"/>
  <c r="T241" i="12" s="1"/>
  <c r="T242" i="12" s="1"/>
  <c r="T243" i="12" s="1"/>
  <c r="T244" i="12" s="1"/>
  <c r="T245" i="12" s="1"/>
  <c r="T246" i="12" s="1"/>
  <c r="T247" i="12" s="1"/>
  <c r="T248" i="12" s="1"/>
  <c r="T249" i="12" s="1"/>
  <c r="T250" i="12" s="1"/>
  <c r="F244" i="12"/>
  <c r="F249" i="12" s="1"/>
  <c r="T280" i="11" l="1"/>
  <c r="T281" i="11" s="1"/>
  <c r="T282" i="11" s="1"/>
  <c r="T283" i="11" s="1"/>
  <c r="T284" i="11" s="1"/>
  <c r="T285" i="11" s="1"/>
  <c r="T286" i="11" s="1"/>
  <c r="T287" i="11" s="1"/>
  <c r="T288" i="11" s="1"/>
  <c r="T289" i="11" s="1"/>
  <c r="T290" i="11" s="1"/>
  <c r="N48" i="12"/>
  <c r="F248" i="12"/>
  <c r="J244" i="12"/>
  <c r="N50" i="12"/>
  <c r="J249" i="12"/>
  <c r="Q50" i="12" l="1"/>
  <c r="Q101" i="12" s="1"/>
  <c r="N101" i="12"/>
  <c r="Q48" i="12"/>
  <c r="Q99" i="12" s="1"/>
  <c r="N99" i="12"/>
</calcChain>
</file>

<file path=xl/comments1.xml><?xml version="1.0" encoding="utf-8"?>
<comments xmlns="http://schemas.openxmlformats.org/spreadsheetml/2006/main">
  <authors>
    <author>Administrator</author>
  </authors>
  <commentList>
    <comment ref="AT29" authorId="0" shapeId="0">
      <text>
        <r>
          <rPr>
            <b/>
            <sz val="9"/>
            <rFont val="MS P ゴシック"/>
            <charset val="128"/>
          </rPr>
          <t>浸透面から地下水位までの差が
1.0ｍ未満は0.9
1.0ｍ以上は1.0</t>
        </r>
      </text>
    </comment>
  </commentList>
</comments>
</file>

<file path=xl/sharedStrings.xml><?xml version="1.0" encoding="utf-8"?>
<sst xmlns="http://schemas.openxmlformats.org/spreadsheetml/2006/main" count="2538" uniqueCount="798">
  <si>
    <t>はじめに</t>
  </si>
  <si>
    <t>本エクセルの目的について</t>
  </si>
  <si>
    <t>洪水調整容量の算定方法について</t>
  </si>
  <si>
    <t>使用方法</t>
  </si>
  <si>
    <t>条件入力はシート内右側のコメ印の注意書きに習い①から順番に入力してください。</t>
  </si>
  <si>
    <t>上記セル以外は入力や編集できないようにロックしています。</t>
  </si>
  <si>
    <t>責任制限について</t>
  </si>
  <si>
    <t>禁止事項について</t>
  </si>
  <si>
    <t>・</t>
  </si>
  <si>
    <t>本エクセルを元にして変更・改造・作製したり販売すること</t>
  </si>
  <si>
    <t>連絡先</t>
  </si>
  <si>
    <t>電話</t>
  </si>
  <si>
    <t>０４７－４２１－６７８４</t>
  </si>
  <si>
    <t>メール</t>
  </si>
  <si>
    <t>参考図書</t>
  </si>
  <si>
    <t>①から順に入力すること</t>
  </si>
  <si>
    <t>１　計算条件</t>
  </si>
  <si>
    <t>プルダウンから選択</t>
  </si>
  <si>
    <t>開発区域の設定</t>
  </si>
  <si>
    <t>直接入力</t>
  </si>
  <si>
    <t>集水区域の土地利用と流出係数</t>
  </si>
  <si>
    <t>f=</t>
  </si>
  <si>
    <t>（少数３位切上）</t>
  </si>
  <si>
    <t>土地利用</t>
  </si>
  <si>
    <t>集水面積A</t>
  </si>
  <si>
    <t>係数ｆ</t>
  </si>
  <si>
    <t>A×ｆ</t>
  </si>
  <si>
    <t>備考</t>
  </si>
  <si>
    <t>屋根</t>
  </si>
  <si>
    <t>その他の不透面</t>
  </si>
  <si>
    <t>合計</t>
  </si>
  <si>
    <t>直接放流区域の土地利用と流出係数増分</t>
  </si>
  <si>
    <t>直接放流面積A</t>
  </si>
  <si>
    <t>直接流出域を含む開発区域全体からの許容放流量を計算し、その値から</t>
  </si>
  <si>
    <t>直接流出域の流出率の増加（暫定的に間地0.20を採用）による流出量の</t>
  </si>
  <si>
    <t>降雨規模の設定</t>
  </si>
  <si>
    <t>増加分を差し引いた値を調整池からの許容放流量とする。</t>
  </si>
  <si>
    <t>計画降雨</t>
  </si>
  <si>
    <t xml:space="preserve">降雨強度式 </t>
  </si>
  <si>
    <t xml:space="preserve">ｒｉ= </t>
  </si>
  <si>
    <t>(</t>
  </si>
  <si>
    <t>t</t>
  </si>
  <si>
    <t>+</t>
  </si>
  <si>
    <t>)</t>
  </si>
  <si>
    <t>雨水流出抑制施設の設定</t>
  </si>
  <si>
    <t>λ=</t>
  </si>
  <si>
    <t>飽和透水係数</t>
  </si>
  <si>
    <t>k0=</t>
  </si>
  <si>
    <t>浸透面から地下水位までの差</t>
  </si>
  <si>
    <t>h=</t>
  </si>
  <si>
    <t>高さ
H（ｍ）</t>
  </si>
  <si>
    <t>幅
W（ｍ）</t>
  </si>
  <si>
    <t>比浸透量
kf(m3)</t>
  </si>
  <si>
    <t>基準浸透量
Qf(m3/h)</t>
  </si>
  <si>
    <t>安全率
α</t>
  </si>
  <si>
    <t>単位浸透量
Q(m3/h)</t>
  </si>
  <si>
    <t>容量
V(m3)</t>
  </si>
  <si>
    <t>平均浸透強度</t>
  </si>
  <si>
    <t>Fc=</t>
  </si>
  <si>
    <t>mm/hr</t>
  </si>
  <si>
    <r>
      <rPr>
        <sz val="11"/>
        <color theme="1"/>
        <rFont val="ＭＳ 明朝"/>
        <family val="1"/>
        <charset val="128"/>
      </rPr>
      <t>Fc=Q</t>
    </r>
    <r>
      <rPr>
        <vertAlign val="subscript"/>
        <sz val="11"/>
        <color theme="1"/>
        <rFont val="ＭＳ 明朝"/>
        <family val="1"/>
        <charset val="128"/>
      </rPr>
      <t>B</t>
    </r>
    <r>
      <rPr>
        <sz val="11"/>
        <color theme="1"/>
        <rFont val="ＭＳ 明朝"/>
        <family val="1"/>
        <charset val="128"/>
      </rPr>
      <t>/(10･f･A)</t>
    </r>
  </si>
  <si>
    <t>許容放流量の設定</t>
  </si>
  <si>
    <t>A=</t>
  </si>
  <si>
    <t>m2</t>
  </si>
  <si>
    <t>m3/s</t>
  </si>
  <si>
    <t>許容直接放流量</t>
  </si>
  <si>
    <t>rc=</t>
  </si>
  <si>
    <r>
      <rPr>
        <sz val="11"/>
        <rFont val="ＭＳ 明朝"/>
        <family val="1"/>
        <charset val="128"/>
      </rPr>
      <t>rc = 360･Q</t>
    </r>
    <r>
      <rPr>
        <vertAlign val="subscript"/>
        <sz val="11"/>
        <rFont val="ＭＳ 明朝"/>
        <family val="1"/>
        <charset val="128"/>
      </rPr>
      <t>A</t>
    </r>
    <r>
      <rPr>
        <sz val="11"/>
        <rFont val="ＭＳ 明朝"/>
        <family val="1"/>
        <charset val="128"/>
      </rPr>
      <t>/(f･A)</t>
    </r>
  </si>
  <si>
    <t>オリフィスの設定</t>
  </si>
  <si>
    <t>Qc=</t>
  </si>
  <si>
    <t>m3/s/ha</t>
  </si>
  <si>
    <t>オリフィス流出係数</t>
  </si>
  <si>
    <t>C=</t>
  </si>
  <si>
    <t>m</t>
  </si>
  <si>
    <t>Ｖ1</t>
  </si>
  <si>
    <t>＝</t>
  </si>
  <si>
    <t>m3</t>
  </si>
  <si>
    <t>Ａ</t>
  </si>
  <si>
    <t>－Ｂ</t>
  </si>
  <si>
    <t>Ｃ</t>
  </si>
  <si>
    <t>Ｖ2</t>
  </si>
  <si>
    <t>２・Ａ</t>
  </si>
  <si>
    <t>ｔｉn</t>
  </si>
  <si>
    <t>ｒｉ</t>
  </si>
  <si>
    <t>ｔｉ</t>
  </si>
  <si>
    <t>min</t>
  </si>
  <si>
    <t>ΣＶ</t>
  </si>
  <si>
    <t>Ｖ2 ＝ ｖ2 × A</t>
  </si>
  <si>
    <t>ｖ2：</t>
  </si>
  <si>
    <t>単位堆砂量 m3/ha</t>
  </si>
  <si>
    <t>m3/ha</t>
  </si>
  <si>
    <t>※1.5m3/ha・年×10年</t>
  </si>
  <si>
    <t>a</t>
  </si>
  <si>
    <t>d</t>
  </si>
  <si>
    <t>≒</t>
  </si>
  <si>
    <t>mm</t>
  </si>
  <si>
    <t xml:space="preserve">  １　洪水調整容量の算定方法</t>
  </si>
  <si>
    <t>－</t>
  </si>
  <si>
    <t>ｒｃ</t>
  </si>
  <si>
    <t>Ｆｃ</t>
  </si>
  <si>
    <t>ここに、</t>
  </si>
  <si>
    <t>Ｖ</t>
  </si>
  <si>
    <t>：</t>
  </si>
  <si>
    <t>に対応する降雨強度（mm/hr）</t>
  </si>
  <si>
    <r>
      <rPr>
        <sz val="11"/>
        <rFont val="ＭＳ 明朝"/>
        <family val="1"/>
        <charset val="128"/>
      </rPr>
      <t>Ｑ</t>
    </r>
    <r>
      <rPr>
        <vertAlign val="subscript"/>
        <sz val="11"/>
        <rFont val="ＭＳ 明朝"/>
        <family val="1"/>
        <charset val="128"/>
      </rPr>
      <t>A</t>
    </r>
  </si>
  <si>
    <r>
      <rPr>
        <sz val="11"/>
        <rFont val="ＭＳ 明朝"/>
        <family val="1"/>
        <charset val="128"/>
      </rPr>
      <t>Ｑ</t>
    </r>
    <r>
      <rPr>
        <vertAlign val="subscript"/>
        <sz val="11"/>
        <rFont val="ＭＳ 明朝"/>
        <family val="1"/>
        <charset val="128"/>
      </rPr>
      <t>B</t>
    </r>
  </si>
  <si>
    <t>設計浸透量(m3/hr)</t>
  </si>
  <si>
    <t>ｆ</t>
  </si>
  <si>
    <t>流出係数</t>
  </si>
  <si>
    <t>集水面積（ha）</t>
  </si>
  <si>
    <t>集水面積と流出係数</t>
  </si>
  <si>
    <t>集水面積A(ha)</t>
  </si>
  <si>
    <t>流出係数f</t>
  </si>
  <si>
    <t>Ａ × ｆ</t>
  </si>
  <si>
    <t xml:space="preserve">    上表を加重平均すると</t>
  </si>
  <si>
    <t>ｆ＝</t>
  </si>
  <si>
    <t>÷</t>
  </si>
  <si>
    <t>直接放流面積と流出係数増分</t>
  </si>
  <si>
    <t>直接放流面積A(ha)</t>
  </si>
  <si>
    <t>流出係数f(増)</t>
  </si>
  <si>
    <t>※開発前を間地相当と見なしf=0.20を差し引く</t>
  </si>
  <si>
    <t xml:space="preserve"> ３　許容放流量の算定</t>
  </si>
  <si>
    <r>
      <rPr>
        <sz val="11"/>
        <rFont val="ＭＳ 明朝"/>
        <family val="1"/>
        <charset val="128"/>
      </rPr>
      <t>Ｑ</t>
    </r>
    <r>
      <rPr>
        <vertAlign val="subscript"/>
        <sz val="11"/>
        <rFont val="ＭＳ 明朝"/>
        <family val="1"/>
        <charset val="128"/>
      </rPr>
      <t>直</t>
    </r>
  </si>
  <si>
    <t>×ｆ×Ｉ×Ａ</t>
  </si>
  <si>
    <t>開発区域からの許容直接放流量の算定</t>
  </si>
  <si>
    <t>許容放流比流量</t>
  </si>
  <si>
    <t>集水面積</t>
  </si>
  <si>
    <t>直放面積</t>
  </si>
  <si>
    <t>全浸透面積</t>
  </si>
  <si>
    <t>Qmax</t>
  </si>
  <si>
    <t>×</t>
  </si>
  <si>
    <t>〕</t>
  </si>
  <si>
    <t>直放量</t>
  </si>
  <si>
    <t>ΣＱA</t>
  </si>
  <si>
    <t>×(</t>
  </si>
  <si>
    <t>＋</t>
  </si>
  <si>
    <t xml:space="preserve"> ４　雨水流出抑制施設の設定及び平均浸透強度の算定</t>
  </si>
  <si>
    <t>水頭H(m)</t>
  </si>
  <si>
    <t>幅W(m)</t>
  </si>
  <si>
    <t>延長L(m)</t>
  </si>
  <si>
    <t>浸透施設の比浸透量算定（「雨水浸透施設技術指針（案）調査・計画編」等により算定）</t>
  </si>
  <si>
    <t>比浸透量</t>
  </si>
  <si>
    <t>基準浸透量</t>
  </si>
  <si>
    <t>影響係数</t>
  </si>
  <si>
    <t>安全率</t>
  </si>
  <si>
    <t>単位設計浸透量</t>
  </si>
  <si>
    <t>kf(m2)</t>
  </si>
  <si>
    <t>ko(m/hr)</t>
  </si>
  <si>
    <t>Qf(m3/hr)</t>
  </si>
  <si>
    <t>α</t>
  </si>
  <si>
    <r>
      <rPr>
        <sz val="10"/>
        <rFont val="ＭＳ 明朝"/>
        <family val="1"/>
        <charset val="128"/>
      </rPr>
      <t>Q</t>
    </r>
    <r>
      <rPr>
        <vertAlign val="subscript"/>
        <sz val="10"/>
        <rFont val="ＭＳ 明朝"/>
        <family val="1"/>
        <charset val="128"/>
      </rPr>
      <t>B</t>
    </r>
    <r>
      <rPr>
        <sz val="10"/>
        <rFont val="ＭＳ 明朝"/>
        <family val="1"/>
        <charset val="128"/>
      </rPr>
      <t>(m3/hr)</t>
    </r>
  </si>
  <si>
    <t>Ｑf</t>
  </si>
  <si>
    <t>単位設計浸透量(m3/hr)</t>
  </si>
  <si>
    <t>Ｋ１</t>
  </si>
  <si>
    <t>目詰まりによる影響係数0.9</t>
  </si>
  <si>
    <t>Ｋ２</t>
  </si>
  <si>
    <t>地下水位による影響係数</t>
  </si>
  <si>
    <t>浸透面から地下水位（豊水期）までの差が1ｍ未満は0.9</t>
  </si>
  <si>
    <t>浸透面から地下水位（豊水期）までの差が1ｍ以上は1.0</t>
  </si>
  <si>
    <t>基準浸透量(m3/hr)</t>
  </si>
  <si>
    <r>
      <rPr>
        <sz val="11"/>
        <rFont val="ＭＳ 明朝"/>
        <family val="1"/>
        <charset val="128"/>
      </rPr>
      <t>ｋ</t>
    </r>
    <r>
      <rPr>
        <sz val="9"/>
        <rFont val="ＭＳ 明朝"/>
        <family val="1"/>
        <charset val="128"/>
      </rPr>
      <t>0</t>
    </r>
  </si>
  <si>
    <t>kf</t>
  </si>
  <si>
    <t>比浸透量(m2)</t>
  </si>
  <si>
    <t>比浸透量（kf）の算定式</t>
  </si>
  <si>
    <t>施設</t>
  </si>
  <si>
    <t>浸透面</t>
  </si>
  <si>
    <t>算定式の
適用範囲の
目安</t>
  </si>
  <si>
    <t>設計水頭</t>
  </si>
  <si>
    <t>施設規模</t>
  </si>
  <si>
    <t>基本式</t>
  </si>
  <si>
    <t>係数</t>
  </si>
  <si>
    <t>ａ</t>
  </si>
  <si>
    <t>ｂ</t>
  </si>
  <si>
    <t>ｃ</t>
  </si>
  <si>
    <t>集水面積に対する平均浸透強度の算定</t>
  </si>
  <si>
    <r>
      <rPr>
        <sz val="11"/>
        <rFont val="ＭＳ 明朝"/>
        <family val="1"/>
        <charset val="128"/>
      </rPr>
      <t>ΣQ</t>
    </r>
    <r>
      <rPr>
        <vertAlign val="subscript"/>
        <sz val="11"/>
        <rFont val="ＭＳ 明朝"/>
        <family val="1"/>
        <charset val="128"/>
      </rPr>
      <t>B</t>
    </r>
    <r>
      <rPr>
        <sz val="11"/>
        <rFont val="ＭＳ 明朝"/>
        <family val="1"/>
        <charset val="128"/>
      </rPr>
      <t>・n</t>
    </r>
  </si>
  <si>
    <t>(10･f･A)</t>
  </si>
  <si>
    <t>÷(</t>
  </si>
  <si>
    <t>)＝</t>
  </si>
  <si>
    <t xml:space="preserve"> ５　任意の継続時間ｔｉの計算</t>
  </si>
  <si>
    <t>n</t>
  </si>
  <si>
    <t>ａ＝</t>
  </si>
  <si>
    <t>ｂ＝</t>
  </si>
  <si>
    <t>ｎ＝</t>
  </si>
  <si>
    <t xml:space="preserve">    微分によりｔｉを計算する。</t>
  </si>
  <si>
    <t>＝(</t>
  </si>
  <si>
    <t xml:space="preserve">    とおき、ｄｙ／ｄｔｉ  として微分すると、</t>
  </si>
  <si>
    <r>
      <rPr>
        <sz val="11"/>
        <rFont val="ＭＳ 明朝"/>
        <family val="1"/>
        <charset val="128"/>
      </rPr>
      <t xml:space="preserve">    となり、ｔｉ</t>
    </r>
    <r>
      <rPr>
        <vertAlign val="superscript"/>
        <sz val="11"/>
        <rFont val="ＭＳ 明朝"/>
        <family val="1"/>
        <charset val="128"/>
      </rPr>
      <t>ｎ</t>
    </r>
    <r>
      <rPr>
        <sz val="11"/>
        <rFont val="ＭＳ 明朝"/>
        <family val="1"/>
        <charset val="128"/>
      </rPr>
      <t xml:space="preserve">  ＝  Ｘ とおいて上式を整理すると、</t>
    </r>
  </si>
  <si>
    <r>
      <rPr>
        <sz val="11"/>
        <rFont val="ＭＳ 明朝"/>
        <family val="1"/>
        <charset val="128"/>
      </rPr>
      <t>Ａ・Ｘ</t>
    </r>
    <r>
      <rPr>
        <vertAlign val="superscript"/>
        <sz val="11"/>
        <rFont val="ＭＳ 明朝"/>
        <family val="1"/>
        <charset val="128"/>
      </rPr>
      <t>2</t>
    </r>
    <r>
      <rPr>
        <sz val="11"/>
        <rFont val="ＭＳ 明朝"/>
        <family val="1"/>
        <charset val="128"/>
      </rPr>
      <t>－Ｂ・Ｘ－Ｃ＝０ と置き換えると</t>
    </r>
  </si>
  <si>
    <t>mm/hr、</t>
  </si>
  <si>
    <t>mm/hrより</t>
  </si>
  <si>
    <t>Ｂ</t>
  </si>
  <si>
    <t xml:space="preserve">ｔｉ </t>
  </si>
  <si>
    <t>〔</t>
  </si>
  <si>
    <t>Ｖ１</t>
  </si>
  <si>
    <t>※浸透を加味する場合はrcを０とする</t>
  </si>
  <si>
    <t xml:space="preserve"> ７　堆積土砂量（V2）の計算</t>
  </si>
  <si>
    <t xml:space="preserve">Ｖ2 </t>
  </si>
  <si>
    <t xml:space="preserve"> m3/ha</t>
  </si>
  <si>
    <t>Ｈ</t>
  </si>
  <si>
    <t>Ｗ</t>
  </si>
  <si>
    <t>Ｌ</t>
  </si>
  <si>
    <t>λ</t>
  </si>
  <si>
    <t>C</t>
  </si>
  <si>
    <t>g</t>
  </si>
  <si>
    <t>π</t>
  </si>
  <si>
    <r>
      <rPr>
        <sz val="11"/>
        <rFont val="ＭＳ 明朝"/>
        <family val="1"/>
        <charset val="128"/>
      </rPr>
      <t>Q</t>
    </r>
    <r>
      <rPr>
        <vertAlign val="subscript"/>
        <sz val="11"/>
        <rFont val="ＭＳ 明朝"/>
        <family val="1"/>
        <charset val="128"/>
      </rPr>
      <t>A</t>
    </r>
  </si>
  <si>
    <t>a×C×</t>
  </si>
  <si>
    <t>×π÷４×0.60×</t>
  </si>
  <si>
    <t>2×9.8×</t>
  </si>
  <si>
    <t>上限値</t>
  </si>
  <si>
    <t>下限値</t>
  </si>
  <si>
    <t>採用値</t>
  </si>
  <si>
    <t>判定</t>
  </si>
  <si>
    <r>
      <rPr>
        <sz val="11"/>
        <rFont val="ＭＳ 明朝"/>
        <family val="1"/>
        <charset val="128"/>
      </rPr>
      <t>直接放流量（Q</t>
    </r>
    <r>
      <rPr>
        <vertAlign val="subscript"/>
        <sz val="11"/>
        <rFont val="ＭＳ 明朝"/>
        <family val="1"/>
        <charset val="128"/>
      </rPr>
      <t>直</t>
    </r>
    <r>
      <rPr>
        <sz val="11"/>
        <rFont val="ＭＳ 明朝"/>
        <family val="1"/>
        <charset val="128"/>
      </rPr>
      <t>）</t>
    </r>
  </si>
  <si>
    <t>-</t>
  </si>
  <si>
    <t>間地</t>
  </si>
  <si>
    <t>Ｖ２</t>
  </si>
  <si>
    <t xml:space="preserve"> ３　雨水流出抑制施設の設定及び平均浸透強度の算定</t>
  </si>
  <si>
    <t>浸透施設の比浸透量算定（「雨水浸透施設技術指針（案）調査・計画編」により算定）</t>
  </si>
  <si>
    <t>Q(m3/hr)</t>
  </si>
  <si>
    <t xml:space="preserve"> ４　任意の継続時間ｔｉの計算</t>
  </si>
  <si>
    <t>ｒｃ＝</t>
  </si>
  <si>
    <t xml:space="preserve">ｒｉ </t>
  </si>
  <si>
    <t xml:space="preserve"> ５　必要洪水調整容量（V1）の算定</t>
  </si>
  <si>
    <t xml:space="preserve"> ６　堆積土砂量（V2）の計算</t>
  </si>
  <si>
    <t>道路</t>
  </si>
  <si>
    <t>工種別</t>
  </si>
  <si>
    <t>目安</t>
  </si>
  <si>
    <t>浸透側溝
浸透トレンチ</t>
  </si>
  <si>
    <t>側面及び底面</t>
  </si>
  <si>
    <t>H≦1.5m</t>
  </si>
  <si>
    <t>W≦1.5m</t>
  </si>
  <si>
    <t>kf=ａH+ｂ</t>
  </si>
  <si>
    <t>H:設計水頭(m)</t>
  </si>
  <si>
    <t>W:施設幅(m)</t>
  </si>
  <si>
    <t>1.34W+0.677</t>
  </si>
  <si>
    <t>比浸透量は単位
長さ当たりの値</t>
  </si>
  <si>
    <t>円筒ます</t>
  </si>
  <si>
    <t>0.2m≦D≦1m</t>
  </si>
  <si>
    <t>kf=ａH2+ｂH+ｃ</t>
  </si>
  <si>
    <t>D:施設直径(m)</t>
  </si>
  <si>
    <t>0.475D+0.945</t>
  </si>
  <si>
    <t>6.07D+1.01</t>
  </si>
  <si>
    <t>2.570D-0.188</t>
  </si>
  <si>
    <t>底面</t>
  </si>
  <si>
    <t>0.3m≦D≦1m</t>
  </si>
  <si>
    <t>1.497D-0.100</t>
  </si>
  <si>
    <t>1.13D2+0.638D
-0.011</t>
  </si>
  <si>
    <t>正方形ます</t>
  </si>
  <si>
    <t>W≦1m</t>
  </si>
  <si>
    <t>kf=ａH2+ｂＨ+ｃ</t>
  </si>
  <si>
    <t>0.120W+0.985</t>
  </si>
  <si>
    <t>7.837W+0.82</t>
  </si>
  <si>
    <t>2.858W-0.283</t>
  </si>
  <si>
    <t>水面</t>
  </si>
  <si>
    <t>1.676W-0.137</t>
  </si>
  <si>
    <t>1.496W2+0.671W
-0.015</t>
  </si>
  <si>
    <t>矩形ます</t>
  </si>
  <si>
    <t>約1.5m</t>
  </si>
  <si>
    <t>L:施設延長(m)</t>
  </si>
  <si>
    <t>3.297L+
(1.971W+4.663)</t>
  </si>
  <si>
    <t>(1.401W+0684)L
+(1.214W-0.834)</t>
  </si>
  <si>
    <t>公園（緑地）</t>
  </si>
  <si>
    <t>※任意設定0.25</t>
  </si>
  <si>
    <t>※任意設定0.30</t>
  </si>
  <si>
    <t>※任意設定0.35</t>
  </si>
  <si>
    <t>※任意設定0.40</t>
  </si>
  <si>
    <t>※任意設定0.45</t>
  </si>
  <si>
    <t>※任意設定0.50</t>
  </si>
  <si>
    <t>※任意設定0.55</t>
  </si>
  <si>
    <t>b</t>
  </si>
  <si>
    <t>※任意設定0.60</t>
  </si>
  <si>
    <t>年超過確率 1/50</t>
  </si>
  <si>
    <t>※任意設定0.65</t>
  </si>
  <si>
    <t>年超過確率 1/30</t>
  </si>
  <si>
    <t>※任意設定0.70</t>
  </si>
  <si>
    <t>※任意設定0.75</t>
  </si>
  <si>
    <t>年超過確率 1/5(長期)</t>
  </si>
  <si>
    <t>※任意設定0.80</t>
  </si>
  <si>
    <t>年超過確率 1/5(短期)</t>
  </si>
  <si>
    <t>※任意設定0.85</t>
  </si>
  <si>
    <t>※任意設定0.90</t>
  </si>
  <si>
    <t>分類</t>
  </si>
  <si>
    <t>設計水頭
H（ｍ）</t>
  </si>
  <si>
    <t>施設幅
W（ｍ）</t>
  </si>
  <si>
    <t>施設直径
D（ｍ）</t>
  </si>
  <si>
    <t>施設延長
L（ｍ）</t>
  </si>
  <si>
    <t>係数
a</t>
  </si>
  <si>
    <t>係数
b</t>
  </si>
  <si>
    <t>係数
c</t>
  </si>
  <si>
    <t>比浸透量
K（m3）</t>
  </si>
  <si>
    <t>W</t>
  </si>
  <si>
    <t>W-small</t>
  </si>
  <si>
    <t>W-big</t>
  </si>
  <si>
    <t>W（ｍ）</t>
  </si>
  <si>
    <t>K（m3）</t>
  </si>
  <si>
    <t>調整池</t>
  </si>
  <si>
    <t>dokensetu5@city.yachiyo.lg.jp</t>
    <phoneticPr fontId="25"/>
  </si>
  <si>
    <t>はプルダウンから選択、</t>
    <phoneticPr fontId="25"/>
  </si>
  <si>
    <t>は直接入力してください。</t>
    <phoneticPr fontId="25"/>
  </si>
  <si>
    <t>計算式などを変更すること</t>
    <phoneticPr fontId="25"/>
  </si>
  <si>
    <r>
      <rPr>
        <sz val="8"/>
        <color theme="1"/>
        <rFont val="ＭＳ 明朝"/>
        <family val="1"/>
        <charset val="128"/>
      </rPr>
      <t>飽和透水係数</t>
    </r>
    <r>
      <rPr>
        <sz val="9"/>
        <color theme="1"/>
        <rFont val="ＭＳ 明朝"/>
        <family val="1"/>
        <charset val="128"/>
      </rPr>
      <t xml:space="preserve">
ko(m/h)</t>
    </r>
    <phoneticPr fontId="25"/>
  </si>
  <si>
    <r>
      <rPr>
        <sz val="8"/>
        <color theme="1"/>
        <rFont val="ＭＳ 明朝"/>
        <family val="1"/>
        <charset val="128"/>
      </rPr>
      <t>基準浸透量</t>
    </r>
    <r>
      <rPr>
        <sz val="10"/>
        <color theme="1"/>
        <rFont val="ＭＳ 明朝"/>
        <family val="1"/>
        <charset val="128"/>
      </rPr>
      <t xml:space="preserve">
Qf(m3/h)</t>
    </r>
    <phoneticPr fontId="25"/>
  </si>
  <si>
    <r>
      <t xml:space="preserve">影響係数
</t>
    </r>
    <r>
      <rPr>
        <sz val="8"/>
        <color theme="1"/>
        <rFont val="ＭＳ 明朝"/>
        <family val="1"/>
        <charset val="128"/>
      </rPr>
      <t>目詰まりK1</t>
    </r>
    <phoneticPr fontId="25"/>
  </si>
  <si>
    <r>
      <t xml:space="preserve">影響係数
</t>
    </r>
    <r>
      <rPr>
        <sz val="8"/>
        <color theme="1"/>
        <rFont val="ＭＳ 明朝"/>
        <family val="1"/>
        <charset val="128"/>
      </rPr>
      <t>地下水位K2</t>
    </r>
    <phoneticPr fontId="25"/>
  </si>
  <si>
    <r>
      <rPr>
        <sz val="8"/>
        <color theme="1"/>
        <rFont val="ＭＳ 明朝"/>
        <family val="1"/>
        <charset val="128"/>
      </rPr>
      <t>単位浸透量</t>
    </r>
    <r>
      <rPr>
        <sz val="10"/>
        <color theme="1"/>
        <rFont val="ＭＳ 明朝"/>
        <family val="1"/>
        <charset val="128"/>
      </rPr>
      <t xml:space="preserve">
Q(m3/h)</t>
    </r>
    <phoneticPr fontId="25"/>
  </si>
  <si>
    <t>土地利用</t>
    <phoneticPr fontId="25"/>
  </si>
  <si>
    <t>「※」は主な注意事項</t>
    <rPh sb="4" eb="5">
      <t>オモ</t>
    </rPh>
    <rPh sb="6" eb="8">
      <t>チュウイ</t>
    </rPh>
    <rPh sb="8" eb="10">
      <t>ジコウ</t>
    </rPh>
    <phoneticPr fontId="25"/>
  </si>
  <si>
    <t>許容放流比流量</t>
    <phoneticPr fontId="25"/>
  </si>
  <si>
    <t>〇　洪水調整容量（Ｖ1）の計算</t>
    <phoneticPr fontId="25"/>
  </si>
  <si>
    <t>〇　堆積土砂量（Ｖ2）の計算</t>
    <phoneticPr fontId="25"/>
  </si>
  <si>
    <t>不具合などの修正について</t>
    <rPh sb="6" eb="8">
      <t>シュウセイ</t>
    </rPh>
    <phoneticPr fontId="25"/>
  </si>
  <si>
    <t>〇</t>
    <phoneticPr fontId="25"/>
  </si>
  <si>
    <t>例）L30m×1個をL10m×3個に分割する場合もL30m×1個の計算書のみでOK</t>
    <rPh sb="0" eb="1">
      <t>レイ</t>
    </rPh>
    <rPh sb="18" eb="20">
      <t>ブンカツ</t>
    </rPh>
    <rPh sb="22" eb="24">
      <t>バアイ</t>
    </rPh>
    <rPh sb="33" eb="36">
      <t>ケイサンショ</t>
    </rPh>
    <phoneticPr fontId="25"/>
  </si>
  <si>
    <t>宅地駐車場</t>
    <rPh sb="0" eb="2">
      <t>タクチ</t>
    </rPh>
    <rPh sb="2" eb="5">
      <t>チュウシャジョウ</t>
    </rPh>
    <phoneticPr fontId="25"/>
  </si>
  <si>
    <t>＋</t>
    <phoneticPr fontId="25"/>
  </si>
  <si>
    <t>×（</t>
    <phoneticPr fontId="25"/>
  </si>
  <si>
    <t>不具合や計算間違いなどが判明した際は土木建設課まで連絡してください。</t>
    <phoneticPr fontId="25"/>
  </si>
  <si>
    <t>※④</t>
    <phoneticPr fontId="25"/>
  </si>
  <si>
    <t>面積は土地利用計画毎に入力</t>
    <phoneticPr fontId="25"/>
  </si>
  <si>
    <t>「その他の不透面」とはゴミ捨て場、防火水槽用地などを指す。</t>
    <phoneticPr fontId="25"/>
  </si>
  <si>
    <t>駐車場1区画5m*2.5m=12.5m2として加算。駐車場2区画の場合は25m2。</t>
    <phoneticPr fontId="25"/>
  </si>
  <si>
    <t>開発区域外から雨水の流入がある場合は区域外面積を加算する。</t>
    <phoneticPr fontId="25"/>
  </si>
  <si>
    <t>流出係数増加分を算定するため間地0.20を差し引いている</t>
    <phoneticPr fontId="25"/>
  </si>
  <si>
    <t>地形・土地利用の改変が行われない場合は間地を選択して計算から除外</t>
    <phoneticPr fontId="25"/>
  </si>
  <si>
    <t>地形・土地利用の改変が行われる場合</t>
    <phoneticPr fontId="25"/>
  </si>
  <si>
    <t>※⑤</t>
    <phoneticPr fontId="25"/>
  </si>
  <si>
    <t>※</t>
    <phoneticPr fontId="25"/>
  </si>
  <si>
    <t>※</t>
    <phoneticPr fontId="25"/>
  </si>
  <si>
    <t>※⑥</t>
    <phoneticPr fontId="25"/>
  </si>
  <si>
    <t>使用する製品の空隙率λを入力。例）パネケープ0.94</t>
    <phoneticPr fontId="25"/>
  </si>
  <si>
    <t>※⑦</t>
    <phoneticPr fontId="25"/>
  </si>
  <si>
    <t>※⑧</t>
    <phoneticPr fontId="25"/>
  </si>
  <si>
    <t>近傍のボーリング記録や試験掘りなどにより確認</t>
    <phoneticPr fontId="25"/>
  </si>
  <si>
    <t>※⑨</t>
    <phoneticPr fontId="25"/>
  </si>
  <si>
    <t>形状の異なる矩形ますを複数設置する場合は集水区域ごとに計算(エクセルを複製)</t>
    <rPh sb="0" eb="2">
      <t>ケイジョウ</t>
    </rPh>
    <rPh sb="3" eb="4">
      <t>コト</t>
    </rPh>
    <rPh sb="6" eb="8">
      <t>クケイ</t>
    </rPh>
    <rPh sb="11" eb="13">
      <t>フクスウ</t>
    </rPh>
    <rPh sb="13" eb="15">
      <t>セッチ</t>
    </rPh>
    <rPh sb="17" eb="19">
      <t>バアイ</t>
    </rPh>
    <rPh sb="20" eb="22">
      <t>シュウスイ</t>
    </rPh>
    <rPh sb="22" eb="24">
      <t>クイキ</t>
    </rPh>
    <rPh sb="27" eb="29">
      <t>ケイサン</t>
    </rPh>
    <rPh sb="35" eb="37">
      <t>フクセイ</t>
    </rPh>
    <phoneticPr fontId="25"/>
  </si>
  <si>
    <t>ただし，HとWが等しい場合に延長を分割する際は，安全側の計算となるため</t>
    <rPh sb="8" eb="9">
      <t>ヒト</t>
    </rPh>
    <rPh sb="11" eb="13">
      <t>バアイ</t>
    </rPh>
    <rPh sb="14" eb="16">
      <t>エンチョウ</t>
    </rPh>
    <rPh sb="17" eb="19">
      <t>ブンカツ</t>
    </rPh>
    <rPh sb="21" eb="22">
      <t>サイ</t>
    </rPh>
    <phoneticPr fontId="25"/>
  </si>
  <si>
    <t>直接放流区域がある場合のみ入力</t>
    <phoneticPr fontId="25"/>
  </si>
  <si>
    <t>⑩</t>
    <phoneticPr fontId="25"/>
  </si>
  <si>
    <t>※⑩</t>
    <phoneticPr fontId="25"/>
  </si>
  <si>
    <t>使用する製品の空隙率λを入力。例）システムパネル0.95</t>
    <phoneticPr fontId="25"/>
  </si>
  <si>
    <t>透水性舗装</t>
    <phoneticPr fontId="25"/>
  </si>
  <si>
    <t>底面</t>
    <phoneticPr fontId="25"/>
  </si>
  <si>
    <t>-</t>
    <phoneticPr fontId="25"/>
  </si>
  <si>
    <t>比浸透量は単位
面積当たりの値</t>
    <rPh sb="8" eb="10">
      <t>メンセキ</t>
    </rPh>
    <phoneticPr fontId="25"/>
  </si>
  <si>
    <t>「その他の不透面」とは駐車場、ゴミ捨て場、防火水槽用地などを指す。</t>
    <rPh sb="11" eb="14">
      <t>チュウシャジョウ</t>
    </rPh>
    <phoneticPr fontId="25"/>
  </si>
  <si>
    <t>事業所浸透貯留施設リスト</t>
    <rPh sb="0" eb="3">
      <t>ジギョウショ</t>
    </rPh>
    <rPh sb="3" eb="5">
      <t>シントウ</t>
    </rPh>
    <phoneticPr fontId="25"/>
  </si>
  <si>
    <t>事業所浸透施設リスト</t>
    <rPh sb="0" eb="3">
      <t>ジギョウショ</t>
    </rPh>
    <phoneticPr fontId="25"/>
  </si>
  <si>
    <t>＋</t>
    <phoneticPr fontId="25"/>
  </si>
  <si>
    <t>×(</t>
    <phoneticPr fontId="25"/>
  </si>
  <si>
    <t>)</t>
    <phoneticPr fontId="25"/>
  </si>
  <si>
    <t>）</t>
    <phoneticPr fontId="25"/>
  </si>
  <si>
    <r>
      <t>本エクセルを利用して</t>
    </r>
    <r>
      <rPr>
        <sz val="11"/>
        <color rgb="FFFF0000"/>
        <rFont val="ＭＳ 明朝"/>
        <family val="1"/>
        <charset val="128"/>
      </rPr>
      <t>発生するあらゆる損害はすべて利用者が負担</t>
    </r>
    <r>
      <rPr>
        <sz val="11"/>
        <color theme="1"/>
        <rFont val="ＭＳ 明朝"/>
        <family val="1"/>
        <charset val="128"/>
      </rPr>
      <t>するものとします。</t>
    </r>
    <phoneticPr fontId="25"/>
  </si>
  <si>
    <t>洪水調整容量算定シートの説明</t>
    <rPh sb="12" eb="14">
      <t>セツメイ</t>
    </rPh>
    <phoneticPr fontId="25"/>
  </si>
  <si>
    <t>③</t>
    <phoneticPr fontId="25"/>
  </si>
  <si>
    <t>④</t>
    <phoneticPr fontId="25"/>
  </si>
  <si>
    <t>⑤</t>
    <phoneticPr fontId="25"/>
  </si>
  <si>
    <t>⑥</t>
    <phoneticPr fontId="25"/>
  </si>
  <si>
    <t>⑦</t>
    <phoneticPr fontId="25"/>
  </si>
  <si>
    <t>⑧</t>
    <phoneticPr fontId="25"/>
  </si>
  <si>
    <t>※③</t>
    <phoneticPr fontId="25"/>
  </si>
  <si>
    <t>0</t>
    <phoneticPr fontId="25"/>
  </si>
  <si>
    <t>n</t>
    <phoneticPr fontId="25"/>
  </si>
  <si>
    <t>⑨</t>
    <phoneticPr fontId="25"/>
  </si>
  <si>
    <t>×</t>
    <phoneticPr fontId="25"/>
  </si>
  <si>
    <t>０</t>
    <phoneticPr fontId="25"/>
  </si>
  <si>
    <t>「直接放流区域」とは雨水が抑制施設を経由せずに開発区域外へ流れ出る区域。</t>
    <rPh sb="13" eb="15">
      <t>ヨクセイ</t>
    </rPh>
    <phoneticPr fontId="25"/>
  </si>
  <si>
    <t>「集水面積」とは抑制施設へ流入する区域。</t>
    <rPh sb="8" eb="10">
      <t>ヨクセイ</t>
    </rPh>
    <phoneticPr fontId="25"/>
  </si>
  <si>
    <t>雨水流出抑制施設</t>
    <rPh sb="0" eb="2">
      <t>ウスイ</t>
    </rPh>
    <rPh sb="2" eb="4">
      <t>リュウシュツ</t>
    </rPh>
    <rPh sb="4" eb="6">
      <t>ヨクセイ</t>
    </rPh>
    <phoneticPr fontId="25"/>
  </si>
  <si>
    <t xml:space="preserve"> 洪水のピーク流量の値を 浸透能力 の値まで調整する。</t>
    <phoneticPr fontId="25"/>
  </si>
  <si>
    <t>抑制施設を経由しない直接放流量の算定</t>
    <rPh sb="0" eb="2">
      <t>ヨクセイ</t>
    </rPh>
    <phoneticPr fontId="25"/>
  </si>
  <si>
    <t>抑制施設からの許容放流量の算定</t>
    <rPh sb="0" eb="2">
      <t>ヨクセイ</t>
    </rPh>
    <phoneticPr fontId="25"/>
  </si>
  <si>
    <t>雨水流出抑制施設</t>
    <phoneticPr fontId="25"/>
  </si>
  <si>
    <t>抑制施設からの放流量</t>
    <rPh sb="0" eb="2">
      <t>ヨクセイ</t>
    </rPh>
    <phoneticPr fontId="25"/>
  </si>
  <si>
    <r>
      <t>抑制施設からの放流量（Q</t>
    </r>
    <r>
      <rPr>
        <vertAlign val="subscript"/>
        <sz val="11"/>
        <rFont val="ＭＳ 明朝"/>
        <family val="1"/>
        <charset val="128"/>
      </rPr>
      <t>A</t>
    </r>
    <r>
      <rPr>
        <sz val="11"/>
        <rFont val="ＭＳ 明朝"/>
        <family val="1"/>
        <charset val="128"/>
      </rPr>
      <t>）</t>
    </r>
    <rPh sb="0" eb="2">
      <t>ヨクセイ</t>
    </rPh>
    <phoneticPr fontId="25"/>
  </si>
  <si>
    <t>雨水流出抑制施設</t>
    <rPh sb="0" eb="2">
      <t>ウスイ</t>
    </rPh>
    <rPh sb="2" eb="6">
      <t>リュウシュツヨクセイ</t>
    </rPh>
    <rPh sb="6" eb="8">
      <t>シセツ</t>
    </rPh>
    <phoneticPr fontId="25"/>
  </si>
  <si>
    <t>大型貯留槽</t>
    <phoneticPr fontId="25"/>
  </si>
  <si>
    <t>1m≦H≦5m</t>
    <phoneticPr fontId="25"/>
  </si>
  <si>
    <t>W≦20m</t>
    <phoneticPr fontId="25"/>
  </si>
  <si>
    <t>kf=（ａH+ｂ）L</t>
    <phoneticPr fontId="25"/>
  </si>
  <si>
    <t>各種</t>
    <rPh sb="0" eb="2">
      <t>カクシュ</t>
    </rPh>
    <phoneticPr fontId="25"/>
  </si>
  <si>
    <t>係数は規模により案分</t>
    <rPh sb="0" eb="2">
      <t>ケイスウ</t>
    </rPh>
    <rPh sb="3" eb="5">
      <t>キボ</t>
    </rPh>
    <rPh sb="8" eb="10">
      <t>アンブン</t>
    </rPh>
    <phoneticPr fontId="25"/>
  </si>
  <si>
    <t>H（ｍ）</t>
    <phoneticPr fontId="25"/>
  </si>
  <si>
    <t>高さ</t>
    <phoneticPr fontId="25"/>
  </si>
  <si>
    <t>W（ｍ）</t>
    <phoneticPr fontId="25"/>
  </si>
  <si>
    <t>幅</t>
    <phoneticPr fontId="25"/>
  </si>
  <si>
    <t>L（ｍ）</t>
    <phoneticPr fontId="25"/>
  </si>
  <si>
    <t>延長</t>
    <phoneticPr fontId="25"/>
  </si>
  <si>
    <t>数量</t>
    <phoneticPr fontId="25"/>
  </si>
  <si>
    <t xml:space="preserve">  ２　流出係数の算定</t>
    <phoneticPr fontId="25"/>
  </si>
  <si>
    <t>t</t>
    <phoneticPr fontId="25"/>
  </si>
  <si>
    <t>オープン調整池は1.00　地下貯留は構造による</t>
    <rPh sb="4" eb="7">
      <t>チョウセイイケ</t>
    </rPh>
    <rPh sb="13" eb="15">
      <t>チカ</t>
    </rPh>
    <rPh sb="15" eb="17">
      <t>チョリュウ</t>
    </rPh>
    <rPh sb="18" eb="20">
      <t>コウゾウ</t>
    </rPh>
    <phoneticPr fontId="25"/>
  </si>
  <si>
    <t>抑制施設の種類と規模</t>
    <rPh sb="0" eb="2">
      <t>ヨクセイ</t>
    </rPh>
    <phoneticPr fontId="25"/>
  </si>
  <si>
    <t>Hは設計貯留水深</t>
    <rPh sb="2" eb="4">
      <t>セッケイ</t>
    </rPh>
    <rPh sb="4" eb="6">
      <t>チョリュウ</t>
    </rPh>
    <rPh sb="6" eb="8">
      <t>スイシン</t>
    </rPh>
    <phoneticPr fontId="25"/>
  </si>
  <si>
    <t>雨水流出抑制計算書（貯留型施設）</t>
    <rPh sb="10" eb="12">
      <t>チョリュウ</t>
    </rPh>
    <phoneticPr fontId="25"/>
  </si>
  <si>
    <t xml:space="preserve"> ４　雨水流出抑制施設の設定</t>
    <phoneticPr fontId="25"/>
  </si>
  <si>
    <t xml:space="preserve"> ５　許容放流量に相当する降雨強度の算定</t>
    <rPh sb="18" eb="20">
      <t>サンテイ</t>
    </rPh>
    <phoneticPr fontId="25"/>
  </si>
  <si>
    <t xml:space="preserve"> ６　任意の継続時間ｔｉの計算</t>
    <phoneticPr fontId="25"/>
  </si>
  <si>
    <t xml:space="preserve"> ８　堆積土砂量（V2）の計算</t>
    <phoneticPr fontId="25"/>
  </si>
  <si>
    <t xml:space="preserve"> １１　オリフィス断面積と径の計算</t>
    <phoneticPr fontId="25"/>
  </si>
  <si>
    <t>宅地に抑制施設を設置した場合は宅地抑制面積(本施設へ流入しない面積)を入力</t>
    <rPh sb="0" eb="2">
      <t>タクチ</t>
    </rPh>
    <rPh sb="3" eb="5">
      <t>ヨクセイ</t>
    </rPh>
    <rPh sb="5" eb="7">
      <t>シセツ</t>
    </rPh>
    <rPh sb="8" eb="10">
      <t>セッチ</t>
    </rPh>
    <rPh sb="12" eb="14">
      <t>バアイ</t>
    </rPh>
    <rPh sb="15" eb="17">
      <t>タクチ</t>
    </rPh>
    <rPh sb="17" eb="19">
      <t>ヨクセイ</t>
    </rPh>
    <rPh sb="19" eb="21">
      <t>メンセキ</t>
    </rPh>
    <rPh sb="22" eb="23">
      <t>ホン</t>
    </rPh>
    <rPh sb="23" eb="25">
      <t>シセツ</t>
    </rPh>
    <rPh sb="26" eb="28">
      <t>リュウニュウ</t>
    </rPh>
    <rPh sb="31" eb="33">
      <t>メンセキ</t>
    </rPh>
    <rPh sb="35" eb="37">
      <t>ニュウリョク</t>
    </rPh>
    <phoneticPr fontId="25"/>
  </si>
  <si>
    <t>－ 0</t>
    <phoneticPr fontId="25"/>
  </si>
  <si>
    <t>宅地に抑制施設を設置した場合は宅地抑制面積(本施設へ流入しない面積)を入力</t>
    <phoneticPr fontId="25"/>
  </si>
  <si>
    <t>貯留型抑制施設の空隙率</t>
    <rPh sb="0" eb="3">
      <t>チョリュウガタ</t>
    </rPh>
    <rPh sb="3" eb="5">
      <t>ヨクセイ</t>
    </rPh>
    <phoneticPr fontId="25"/>
  </si>
  <si>
    <t>流末の流下能力によって決定する。流末の能力が不明の場合は下限値0.025とする。</t>
    <rPh sb="0" eb="2">
      <t>リュウマツ</t>
    </rPh>
    <rPh sb="3" eb="5">
      <t>リュウカ</t>
    </rPh>
    <rPh sb="5" eb="7">
      <t>ノウリョク</t>
    </rPh>
    <rPh sb="11" eb="13">
      <t>ケッテイ</t>
    </rPh>
    <rPh sb="16" eb="18">
      <t>リュウマツ</t>
    </rPh>
    <rPh sb="19" eb="21">
      <t>ノウリョク</t>
    </rPh>
    <rPh sb="22" eb="24">
      <t>フメイ</t>
    </rPh>
    <rPh sb="25" eb="27">
      <t>バアイ</t>
    </rPh>
    <rPh sb="28" eb="31">
      <t>カゲンチ</t>
    </rPh>
    <phoneticPr fontId="25"/>
  </si>
  <si>
    <t>流末の流下能力によって決定する。流末の能力が不明の場合は下限値0.025とする。</t>
    <phoneticPr fontId="25"/>
  </si>
  <si>
    <t>土木建設課が指導する開発行為以外での使用</t>
    <rPh sb="12" eb="14">
      <t>コウイ</t>
    </rPh>
    <rPh sb="14" eb="16">
      <t>イガイ</t>
    </rPh>
    <phoneticPr fontId="25"/>
  </si>
  <si>
    <t>開発行為は，参考図書に準じて開発事業者にて計算書を作成してください。</t>
    <rPh sb="0" eb="2">
      <t>カイハツ</t>
    </rPh>
    <rPh sb="2" eb="4">
      <t>コウイ</t>
    </rPh>
    <rPh sb="6" eb="10">
      <t>サンコウトショ</t>
    </rPh>
    <rPh sb="11" eb="12">
      <t>ジュン</t>
    </rPh>
    <rPh sb="14" eb="16">
      <t>カイハツ</t>
    </rPh>
    <rPh sb="16" eb="19">
      <t>ジギョウシャ</t>
    </rPh>
    <rPh sb="21" eb="23">
      <t>ケイサン</t>
    </rPh>
    <rPh sb="23" eb="24">
      <t>ショ</t>
    </rPh>
    <rPh sb="25" eb="27">
      <t>サクセイ</t>
    </rPh>
    <phoneticPr fontId="25"/>
  </si>
  <si>
    <t>開発事業者には雨水流出抑制により溢水などの被害が生じないよう設計する義務があります。</t>
    <rPh sb="7" eb="9">
      <t>ウスイ</t>
    </rPh>
    <rPh sb="9" eb="13">
      <t>リュウシュツヨクセイ</t>
    </rPh>
    <rPh sb="16" eb="18">
      <t>イッスイ</t>
    </rPh>
    <rPh sb="21" eb="23">
      <t>ヒガイ</t>
    </rPh>
    <rPh sb="24" eb="25">
      <t>ショウ</t>
    </rPh>
    <rPh sb="30" eb="32">
      <t>セッケイ</t>
    </rPh>
    <rPh sb="34" eb="36">
      <t>ギム</t>
    </rPh>
    <phoneticPr fontId="25"/>
  </si>
  <si>
    <t>を設ける場合の容量算定シートです。</t>
    <phoneticPr fontId="25"/>
  </si>
  <si>
    <t xml:space="preserve"> ３　許容放流量の算定</t>
    <phoneticPr fontId="25"/>
  </si>
  <si>
    <t>抑制施設の基礎形式</t>
    <rPh sb="0" eb="4">
      <t>ヨクセイシセツ</t>
    </rPh>
    <rPh sb="5" eb="7">
      <t>キソ</t>
    </rPh>
    <rPh sb="7" eb="9">
      <t>ケイシキ</t>
    </rPh>
    <phoneticPr fontId="25"/>
  </si>
  <si>
    <t>側面</t>
    <phoneticPr fontId="25"/>
  </si>
  <si>
    <t>kf補正係数　H/(H+W)</t>
    <rPh sb="2" eb="4">
      <t>ホセイ</t>
    </rPh>
    <rPh sb="4" eb="6">
      <t>ケイスウ</t>
    </rPh>
    <phoneticPr fontId="25"/>
  </si>
  <si>
    <t>原則「コンクリート」とし，十分な地耐力が見込める場合は「砕石」を可</t>
    <rPh sb="0" eb="2">
      <t>ゲンソク</t>
    </rPh>
    <rPh sb="24" eb="26">
      <t>バアイ</t>
    </rPh>
    <phoneticPr fontId="25"/>
  </si>
  <si>
    <t>ただし，高野川流域は上限値0.020とする。</t>
    <rPh sb="4" eb="7">
      <t>コウヤガワ</t>
    </rPh>
    <rPh sb="7" eb="9">
      <t>リュウイキ</t>
    </rPh>
    <rPh sb="10" eb="13">
      <t>ジョウゲンチ</t>
    </rPh>
    <phoneticPr fontId="25"/>
  </si>
  <si>
    <t>矩形ます(側面・底面浸透)</t>
    <phoneticPr fontId="25"/>
  </si>
  <si>
    <t>矩形ます(側面浸透)</t>
    <phoneticPr fontId="25"/>
  </si>
  <si>
    <t>大型貯留槽（側面・底面浸透）</t>
    <phoneticPr fontId="25"/>
  </si>
  <si>
    <t>正方形ます(底面浸透)&lt;Ｗ≦1m&gt;</t>
    <phoneticPr fontId="25"/>
  </si>
  <si>
    <t>正方形ます(側面・底面浸透)&lt;Ｗ≦1m&gt;</t>
    <phoneticPr fontId="25"/>
  </si>
  <si>
    <t>円筒ます(底面浸透)&lt;0.3m≦Ｄ≦1m&gt;</t>
    <phoneticPr fontId="25"/>
  </si>
  <si>
    <t>円筒ます(側面・底面浸透)&lt;0.2m≦Ｄ≦1m&gt;</t>
    <phoneticPr fontId="25"/>
  </si>
  <si>
    <t>浸透側溝及び浸透トレンチ</t>
    <phoneticPr fontId="25"/>
  </si>
  <si>
    <t>大型貯留槽（側面浸透）</t>
    <phoneticPr fontId="25"/>
  </si>
  <si>
    <t>大型貯留槽（側面・底面浸透）&lt;Ｗ=5m,5m≦Ｌ≦25m&gt;</t>
    <phoneticPr fontId="25"/>
  </si>
  <si>
    <t>大型貯留槽（側面・底面浸透）&lt;Ｗ=10m,10m≦Ｌ≦50m&gt;</t>
    <phoneticPr fontId="25"/>
  </si>
  <si>
    <t>大型貯留槽（側面・底面浸透）&lt;Ｗ=20m,20m≦Ｌ≦100m&gt;</t>
    <phoneticPr fontId="25"/>
  </si>
  <si>
    <t>補正係数</t>
    <rPh sb="0" eb="2">
      <t>ホセイ</t>
    </rPh>
    <phoneticPr fontId="25"/>
  </si>
  <si>
    <t>大型貯留槽（底面浸透）&lt;Ｗ=5m,5m≦Ｌ≦25m&gt;</t>
    <phoneticPr fontId="25"/>
  </si>
  <si>
    <t>大型貯留槽（底面浸透）&lt;Ｗ=10m,10m≦Ｌ≦50m&gt;</t>
    <phoneticPr fontId="25"/>
  </si>
  <si>
    <t>大型貯留槽（底面浸透）&lt;Ｗ=20m,20m≦Ｌ≦100m&gt;</t>
    <phoneticPr fontId="25"/>
  </si>
  <si>
    <t>集水区域ごとの計算を不要とすることも可能</t>
    <phoneticPr fontId="25"/>
  </si>
  <si>
    <t>流末の流下能力によって決定する。</t>
    <phoneticPr fontId="25"/>
  </si>
  <si>
    <t>流末の能力が不明の場合は下限値0.025とする。</t>
    <phoneticPr fontId="25"/>
  </si>
  <si>
    <t>増加分を差し引いた値を抑制施設からの許容放流量とする。</t>
    <rPh sb="11" eb="13">
      <t>ヨクセイ</t>
    </rPh>
    <rPh sb="13" eb="15">
      <t>シセツ</t>
    </rPh>
    <phoneticPr fontId="25"/>
  </si>
  <si>
    <t>施設1</t>
    <phoneticPr fontId="25"/>
  </si>
  <si>
    <t>（下水道課が指導する開発事業では本エクセルを使用できません）</t>
    <rPh sb="1" eb="5">
      <t>ゲスイドウカ</t>
    </rPh>
    <rPh sb="6" eb="8">
      <t>シドウ</t>
    </rPh>
    <rPh sb="10" eb="12">
      <t>カイハツ</t>
    </rPh>
    <rPh sb="12" eb="14">
      <t>ジギョウ</t>
    </rPh>
    <rPh sb="16" eb="17">
      <t>ホン</t>
    </rPh>
    <rPh sb="22" eb="24">
      <t>シヨウ</t>
    </rPh>
    <phoneticPr fontId="25"/>
  </si>
  <si>
    <t>※全ての開発行為をカバーできるように作成していません。本エクセルが適用できないような</t>
    <rPh sb="1" eb="2">
      <t>スベ</t>
    </rPh>
    <rPh sb="4" eb="6">
      <t>カイハツ</t>
    </rPh>
    <rPh sb="6" eb="8">
      <t>コウイ</t>
    </rPh>
    <rPh sb="18" eb="20">
      <t>サクセイ</t>
    </rPh>
    <rPh sb="27" eb="28">
      <t>ホン</t>
    </rPh>
    <rPh sb="33" eb="35">
      <t>テキヨウ</t>
    </rPh>
    <phoneticPr fontId="25"/>
  </si>
  <si>
    <t>宅地抑制施設の集水面積から駐車場を除外する場合は、本計算に駐車場分を加算する。</t>
    <rPh sb="0" eb="2">
      <t>タクチ</t>
    </rPh>
    <rPh sb="2" eb="4">
      <t>ヨクセイ</t>
    </rPh>
    <rPh sb="4" eb="6">
      <t>シセツ</t>
    </rPh>
    <phoneticPr fontId="25"/>
  </si>
  <si>
    <t>抑制施設の空隙率</t>
    <rPh sb="0" eb="2">
      <t>ヨクセイ</t>
    </rPh>
    <phoneticPr fontId="25"/>
  </si>
  <si>
    <t>年超過確率 1/10</t>
    <phoneticPr fontId="25"/>
  </si>
  <si>
    <t>※①</t>
    <phoneticPr fontId="25"/>
  </si>
  <si>
    <t>②</t>
    <phoneticPr fontId="25"/>
  </si>
  <si>
    <t>※②</t>
    <phoneticPr fontId="25"/>
  </si>
  <si>
    <t>Ｖ１</t>
    <phoneticPr fontId="25"/>
  </si>
  <si>
    <t>必要洪水調整容量（m3）</t>
    <phoneticPr fontId="25"/>
  </si>
  <si>
    <t>Ｖ２</t>
    <phoneticPr fontId="25"/>
  </si>
  <si>
    <t>ｖ２</t>
    <phoneticPr fontId="25"/>
  </si>
  <si>
    <t>Ａ</t>
    <phoneticPr fontId="25"/>
  </si>
  <si>
    <t>堆積土砂量（m3）</t>
    <phoneticPr fontId="25"/>
  </si>
  <si>
    <t>単位堆砂量 m3/ha</t>
    <phoneticPr fontId="25"/>
  </si>
  <si>
    <t>K1</t>
    <phoneticPr fontId="25"/>
  </si>
  <si>
    <t>K2</t>
    <phoneticPr fontId="25"/>
  </si>
  <si>
    <t>数量n(個)</t>
    <phoneticPr fontId="25"/>
  </si>
  <si>
    <t>安全率0.8</t>
    <phoneticPr fontId="25"/>
  </si>
  <si>
    <t>宅地に抑制施設を設置する場合は別シート（浸透_宅地）で計算する。</t>
    <rPh sb="0" eb="2">
      <t>タクチ</t>
    </rPh>
    <rPh sb="3" eb="5">
      <t>ヨクセイ</t>
    </rPh>
    <rPh sb="5" eb="7">
      <t>シセツ</t>
    </rPh>
    <rPh sb="8" eb="10">
      <t>セッチ</t>
    </rPh>
    <rPh sb="12" eb="14">
      <t>バアイ</t>
    </rPh>
    <rPh sb="15" eb="16">
      <t>ベツ</t>
    </rPh>
    <rPh sb="20" eb="22">
      <t>シントウ</t>
    </rPh>
    <rPh sb="23" eb="25">
      <t>タクチ</t>
    </rPh>
    <rPh sb="27" eb="29">
      <t>ケイサン</t>
    </rPh>
    <phoneticPr fontId="25"/>
  </si>
  <si>
    <t>オーバーフローの接続先</t>
    <rPh sb="8" eb="11">
      <t>セツゾクサキ</t>
    </rPh>
    <phoneticPr fontId="25"/>
  </si>
  <si>
    <t>①</t>
    <phoneticPr fontId="25"/>
  </si>
  <si>
    <t xml:space="preserve"> 容量Ｖ1と堆積土砂量Ｖ２の合計値ΣＶ以上とする。</t>
    <phoneticPr fontId="25"/>
  </si>
  <si>
    <t>安全率0.8</t>
    <phoneticPr fontId="25"/>
  </si>
  <si>
    <t xml:space="preserve"> ９　設計容量（V)の計算</t>
    <phoneticPr fontId="25"/>
  </si>
  <si>
    <t xml:space="preserve"> ６　必要洪水調整容量（V1）の算定</t>
    <rPh sb="3" eb="5">
      <t>ヒツヨウ</t>
    </rPh>
    <phoneticPr fontId="25"/>
  </si>
  <si>
    <t xml:space="preserve"> ８　必要容量（ΣＶ)の計算</t>
    <phoneticPr fontId="25"/>
  </si>
  <si>
    <t xml:space="preserve"> ７　必要容量（ΣＶ)の計算</t>
    <phoneticPr fontId="25"/>
  </si>
  <si>
    <t xml:space="preserve"> ８　設計容量（V)の計算</t>
    <rPh sb="5" eb="7">
      <t>ヨウリョウ</t>
    </rPh>
    <phoneticPr fontId="25"/>
  </si>
  <si>
    <t>設計容量（V）</t>
    <rPh sb="0" eb="2">
      <t>セッケイ</t>
    </rPh>
    <phoneticPr fontId="25"/>
  </si>
  <si>
    <t>〇　堆積土砂量（Ｖ2）の計算</t>
    <phoneticPr fontId="25"/>
  </si>
  <si>
    <t>形状の異なる施設を複数設置する場合は集水区域ごとに計算(エクセルを複製)</t>
    <rPh sb="0" eb="2">
      <t>ケイジョウ</t>
    </rPh>
    <rPh sb="3" eb="4">
      <t>コト</t>
    </rPh>
    <rPh sb="6" eb="8">
      <t>シセツ</t>
    </rPh>
    <rPh sb="9" eb="11">
      <t>フクスウ</t>
    </rPh>
    <rPh sb="11" eb="13">
      <t>セッチ</t>
    </rPh>
    <rPh sb="15" eb="17">
      <t>バアイ</t>
    </rPh>
    <rPh sb="18" eb="20">
      <t>シュウスイ</t>
    </rPh>
    <rPh sb="20" eb="22">
      <t>クイキ</t>
    </rPh>
    <rPh sb="25" eb="27">
      <t>ケイサン</t>
    </rPh>
    <rPh sb="33" eb="35">
      <t>フクセイ</t>
    </rPh>
    <phoneticPr fontId="25"/>
  </si>
  <si>
    <t xml:space="preserve"> 容量Ｖ1と堆積土砂量Ｖ２の合計値ΣＶ以上とする。</t>
    <phoneticPr fontId="25"/>
  </si>
  <si>
    <t xml:space="preserve"> 容量Ｖ1と堆積土砂量Ｖ２の合計値ΣＶ以上とする。</t>
    <phoneticPr fontId="25"/>
  </si>
  <si>
    <t>K1</t>
    <phoneticPr fontId="25"/>
  </si>
  <si>
    <t>K2</t>
    <phoneticPr fontId="25"/>
  </si>
  <si>
    <t>K1</t>
    <phoneticPr fontId="25"/>
  </si>
  <si>
    <t>K2</t>
    <phoneticPr fontId="25"/>
  </si>
  <si>
    <t xml:space="preserve">  　洪水調整容量Ｖ１が最大になるような任意の継続時間ｔｉを計算する</t>
    <phoneticPr fontId="25"/>
  </si>
  <si>
    <t xml:space="preserve">  　洪水調整容量Ｖ１が最大になるような任意の継続時間ｔｉを計算する</t>
    <phoneticPr fontId="25"/>
  </si>
  <si>
    <t xml:space="preserve"> ８　必要容量（ΣＶ)の計算</t>
    <phoneticPr fontId="25"/>
  </si>
  <si>
    <t xml:space="preserve"> ９　設計容量（V)の計算</t>
    <phoneticPr fontId="25"/>
  </si>
  <si>
    <t>０</t>
    <phoneticPr fontId="25"/>
  </si>
  <si>
    <t xml:space="preserve"> 洪水のピーク流量の値を 浸透能力 の値まで調整する。</t>
    <phoneticPr fontId="25"/>
  </si>
  <si>
    <t>「調整池」か「地下貯留施設」を選択する。</t>
    <rPh sb="15" eb="17">
      <t>センタク</t>
    </rPh>
    <phoneticPr fontId="25"/>
  </si>
  <si>
    <t>数量n(個)</t>
    <phoneticPr fontId="25"/>
  </si>
  <si>
    <t xml:space="preserve">  　洪水調整容量Ｖ１が最大になるような任意の継続時間ｔｉを計算する</t>
    <phoneticPr fontId="25"/>
  </si>
  <si>
    <t xml:space="preserve"> ７　必要洪水調整容量（V1）の算定</t>
    <rPh sb="3" eb="5">
      <t>ヒツヨウ</t>
    </rPh>
    <phoneticPr fontId="25"/>
  </si>
  <si>
    <t xml:space="preserve"> ９　必要容量（ΣＶ)の計算</t>
    <phoneticPr fontId="25"/>
  </si>
  <si>
    <t xml:space="preserve"> １０　設計容量（V)の計算</t>
    <phoneticPr fontId="25"/>
  </si>
  <si>
    <t>延長
L（ｍ）</t>
    <phoneticPr fontId="25"/>
  </si>
  <si>
    <t>L（ｍ）</t>
    <phoneticPr fontId="25"/>
  </si>
  <si>
    <t>N(個)</t>
    <phoneticPr fontId="25"/>
  </si>
  <si>
    <t>数量
N(個)</t>
    <phoneticPr fontId="25"/>
  </si>
  <si>
    <t>調整池の場合は「水面」を忘れずに入力する。</t>
    <rPh sb="0" eb="2">
      <t>チョウセイ</t>
    </rPh>
    <rPh sb="2" eb="3">
      <t>イケ</t>
    </rPh>
    <rPh sb="4" eb="6">
      <t>バアイ</t>
    </rPh>
    <rPh sb="8" eb="10">
      <t>スイメン</t>
    </rPh>
    <rPh sb="12" eb="13">
      <t>ワス</t>
    </rPh>
    <rPh sb="16" eb="18">
      <t>ニュウリョク</t>
    </rPh>
    <phoneticPr fontId="25"/>
  </si>
  <si>
    <t>直接放流区域は②に記入すること</t>
    <phoneticPr fontId="25"/>
  </si>
  <si>
    <t>雨水流出抑制計算書（公共用地に設置する浸透型抑制施設）</t>
    <rPh sb="10" eb="14">
      <t>コウキョウヨウチ</t>
    </rPh>
    <rPh sb="19" eb="22">
      <t>シントウガタ</t>
    </rPh>
    <rPh sb="22" eb="24">
      <t>ヨクセイ</t>
    </rPh>
    <rPh sb="24" eb="26">
      <t>シセツ</t>
    </rPh>
    <phoneticPr fontId="25"/>
  </si>
  <si>
    <t>前面道路の側溝ではなく開発区域全体のオーバーフロー先とする。</t>
    <rPh sb="0" eb="2">
      <t>ゼンメン</t>
    </rPh>
    <rPh sb="2" eb="4">
      <t>ドウロ</t>
    </rPh>
    <rPh sb="5" eb="7">
      <t>ソッコウ</t>
    </rPh>
    <rPh sb="11" eb="13">
      <t>カイハツ</t>
    </rPh>
    <rPh sb="13" eb="15">
      <t>クイキ</t>
    </rPh>
    <rPh sb="15" eb="17">
      <t>ゼンタイ</t>
    </rPh>
    <rPh sb="25" eb="26">
      <t>サキ</t>
    </rPh>
    <phoneticPr fontId="25"/>
  </si>
  <si>
    <t>建ぺい率</t>
    <phoneticPr fontId="25"/>
  </si>
  <si>
    <t>土地利用と流出係数</t>
    <phoneticPr fontId="25"/>
  </si>
  <si>
    <t>（少数３位切上）</t>
    <phoneticPr fontId="25"/>
  </si>
  <si>
    <t>宅地施設の抑制面積</t>
    <rPh sb="0" eb="2">
      <t>タクチ</t>
    </rPh>
    <rPh sb="2" eb="4">
      <t>シセツ</t>
    </rPh>
    <rPh sb="5" eb="7">
      <t>ヨクセイ</t>
    </rPh>
    <rPh sb="7" eb="9">
      <t>メンセキ</t>
    </rPh>
    <phoneticPr fontId="25"/>
  </si>
  <si>
    <t>宅地施設の抑制面積</t>
    <rPh sb="0" eb="2">
      <t>タクチ</t>
    </rPh>
    <rPh sb="2" eb="4">
      <t>シセツ</t>
    </rPh>
    <rPh sb="5" eb="7">
      <t>ヨクセイ</t>
    </rPh>
    <phoneticPr fontId="25"/>
  </si>
  <si>
    <t>※原則0.60とする。ベルマウスは不対応。</t>
    <rPh sb="17" eb="20">
      <t>フタイオウ</t>
    </rPh>
    <phoneticPr fontId="25"/>
  </si>
  <si>
    <t>直接流出域を含む開発区域全体からの許容放流量を計算し、その値から</t>
    <phoneticPr fontId="25"/>
  </si>
  <si>
    <t>)－</t>
    <phoneticPr fontId="25"/>
  </si>
  <si>
    <t>オリフィス断面積(a)</t>
    <phoneticPr fontId="25"/>
  </si>
  <si>
    <t>オリフィス流出係数</t>
    <phoneticPr fontId="25"/>
  </si>
  <si>
    <t>重力加速度＝9.8</t>
    <phoneticPr fontId="25"/>
  </si>
  <si>
    <t>オリフィス径(d)</t>
    <phoneticPr fontId="25"/>
  </si>
  <si>
    <t>オリフィス径（ｄ）</t>
    <phoneticPr fontId="25"/>
  </si>
  <si>
    <t>許容放流量（m3/s）</t>
    <phoneticPr fontId="25"/>
  </si>
  <si>
    <t>任意の継続時間（s）</t>
    <phoneticPr fontId="25"/>
  </si>
  <si>
    <t>影響係数（Ｋ１×Ｋ２×α）</t>
    <phoneticPr fontId="25"/>
  </si>
  <si>
    <t>勾配の緩い山地</t>
    <rPh sb="0" eb="2">
      <t>コウバイ</t>
    </rPh>
    <rPh sb="3" eb="4">
      <t>ユル</t>
    </rPh>
    <rPh sb="5" eb="7">
      <t>サンチ</t>
    </rPh>
    <phoneticPr fontId="25"/>
  </si>
  <si>
    <t>勾配の急な山地</t>
    <rPh sb="0" eb="2">
      <t>コウバイ</t>
    </rPh>
    <rPh sb="3" eb="4">
      <t>キュウ</t>
    </rPh>
    <rPh sb="5" eb="7">
      <t>サンチ</t>
    </rPh>
    <phoneticPr fontId="25"/>
  </si>
  <si>
    <t>L≦200m、
W≦4m</t>
    <phoneticPr fontId="25"/>
  </si>
  <si>
    <t>模式図</t>
    <rPh sb="0" eb="3">
      <t>モシキズ</t>
    </rPh>
    <phoneticPr fontId="25"/>
  </si>
  <si>
    <t>矩形ます</t>
    <phoneticPr fontId="25"/>
  </si>
  <si>
    <t>約1.5m</t>
    <phoneticPr fontId="25"/>
  </si>
  <si>
    <t>L≦200m、W≦4m</t>
    <phoneticPr fontId="25"/>
  </si>
  <si>
    <t>kf=ａH+ｂ</t>
    <phoneticPr fontId="25"/>
  </si>
  <si>
    <t>H:設計水頭(m)</t>
    <phoneticPr fontId="25"/>
  </si>
  <si>
    <t>L:施設延長(m)</t>
    <phoneticPr fontId="25"/>
  </si>
  <si>
    <t>W:施設幅(m)</t>
    <phoneticPr fontId="25"/>
  </si>
  <si>
    <t>3.297L+
(1.971W+4.663)</t>
    <phoneticPr fontId="25"/>
  </si>
  <si>
    <t>3.297L+(1.971W+4.663)</t>
    <phoneticPr fontId="25"/>
  </si>
  <si>
    <t>(1.401W+0684)L
+(1.214W-0.834)</t>
    <phoneticPr fontId="25"/>
  </si>
  <si>
    <t>kf補正係数　H/(H+W)</t>
    <phoneticPr fontId="25"/>
  </si>
  <si>
    <t>H:設計水頭(m)、L:施設延長(m)、W:施設幅(m)</t>
  </si>
  <si>
    <t>大型貯留槽</t>
  </si>
  <si>
    <t>1m≦H≦5m</t>
  </si>
  <si>
    <t>kf=（ａH+ｂ）L</t>
  </si>
  <si>
    <t>側面及び底面</t>
    <phoneticPr fontId="25"/>
  </si>
  <si>
    <t>W=5m</t>
    <phoneticPr fontId="25"/>
  </si>
  <si>
    <t>W=10m</t>
    <phoneticPr fontId="25"/>
  </si>
  <si>
    <t>X は幅(W)に対する長辺長さ(L)の倍率を示す。X=L/W</t>
    <phoneticPr fontId="25"/>
  </si>
  <si>
    <t>8.83X^-0.461</t>
    <phoneticPr fontId="25"/>
  </si>
  <si>
    <t>W=20m</t>
    <phoneticPr fontId="25"/>
  </si>
  <si>
    <t>7.06X^-0.452</t>
    <phoneticPr fontId="25"/>
  </si>
  <si>
    <t>1.94X^-0.328</t>
    <phoneticPr fontId="25"/>
  </si>
  <si>
    <t>2.29X^-0.397</t>
    <phoneticPr fontId="25"/>
  </si>
  <si>
    <t>2.37X^-0.488</t>
    <phoneticPr fontId="25"/>
  </si>
  <si>
    <t>矩形ます_側面浸透</t>
    <phoneticPr fontId="25"/>
  </si>
  <si>
    <t>矩形ます_側面・底面浸透</t>
    <phoneticPr fontId="25"/>
  </si>
  <si>
    <t>大型貯留槽_側面浸透5_10</t>
    <phoneticPr fontId="25"/>
  </si>
  <si>
    <t>大型貯留槽_側面浸透10_20</t>
    <phoneticPr fontId="25"/>
  </si>
  <si>
    <t>大型貯留槽_側面・底面浸透5_10</t>
    <phoneticPr fontId="25"/>
  </si>
  <si>
    <t>大型貯留槽_側面・底面浸透10_20</t>
    <phoneticPr fontId="25"/>
  </si>
  <si>
    <t>7.88X^-0.446</t>
    <phoneticPr fontId="25"/>
  </si>
  <si>
    <t>防災調節池等技術基準（案）解説と設計実例増補改訂（一部修正）版（公益社団法人日本河川協会）</t>
    <phoneticPr fontId="25"/>
  </si>
  <si>
    <t>流域貯留施設等技術指針（案）―増補改訂版―（公益社団法人雨水貯留浸透技術協会）</t>
    <phoneticPr fontId="25"/>
  </si>
  <si>
    <t>増補改訂雨水浸透施設技術指針（案）調査・計画編（公益社団法人雨水貯留浸透技術協会）</t>
    <phoneticPr fontId="25"/>
  </si>
  <si>
    <t>増補改訂雨水浸透施設技術指針（案）構造・施工・維持管理編（公益社団法人雨水貯留浸透技術協会）</t>
    <phoneticPr fontId="25"/>
  </si>
  <si>
    <t>下水道施設計画・設計指針と解説（公益社団法人日本下水道協会）</t>
    <phoneticPr fontId="25"/>
  </si>
  <si>
    <t>下水道雨水調整池技術基準（案）解説と計算例（公益社団法人日本下水道協会）</t>
    <phoneticPr fontId="25"/>
  </si>
  <si>
    <t>千葉県における宅地開発等に伴う雨水排水・貯留浸透計画策定の手引の解説（千葉県県土整備部）</t>
    <phoneticPr fontId="25"/>
  </si>
  <si>
    <t>Ver1.0</t>
    <phoneticPr fontId="25"/>
  </si>
  <si>
    <t>補足資料と併せて配布開始</t>
    <rPh sb="0" eb="4">
      <t>ホソクシリョウ</t>
    </rPh>
    <rPh sb="5" eb="6">
      <t>アワ</t>
    </rPh>
    <rPh sb="8" eb="10">
      <t>ハイフ</t>
    </rPh>
    <rPh sb="10" eb="12">
      <t>カイシ</t>
    </rPh>
    <phoneticPr fontId="25"/>
  </si>
  <si>
    <t>抑制施設に大型貯留槽を選択した場合の不具合を修正</t>
    <rPh sb="0" eb="2">
      <t>ヨクセイ</t>
    </rPh>
    <rPh sb="2" eb="4">
      <t>シセツ</t>
    </rPh>
    <rPh sb="5" eb="7">
      <t>オオガタ</t>
    </rPh>
    <rPh sb="7" eb="9">
      <t>チョリュウ</t>
    </rPh>
    <rPh sb="9" eb="10">
      <t>ソウ</t>
    </rPh>
    <rPh sb="11" eb="13">
      <t>センタク</t>
    </rPh>
    <rPh sb="15" eb="17">
      <t>バアイ</t>
    </rPh>
    <rPh sb="18" eb="21">
      <t>フグアイ</t>
    </rPh>
    <rPh sb="22" eb="24">
      <t>シュウセイ</t>
    </rPh>
    <phoneticPr fontId="25"/>
  </si>
  <si>
    <t>全シートの飽和透水係数ｋ0初期値を0.02m/hに設定</t>
    <rPh sb="0" eb="1">
      <t>ゼン</t>
    </rPh>
    <rPh sb="5" eb="11">
      <t>ホウワトウスイケイスウ</t>
    </rPh>
    <rPh sb="13" eb="16">
      <t>ショキチ</t>
    </rPh>
    <rPh sb="25" eb="27">
      <t>セッテイ</t>
    </rPh>
    <phoneticPr fontId="25"/>
  </si>
  <si>
    <t>令和4年10月1日から適用される指針に対応するよう</t>
    <rPh sb="0" eb="2">
      <t>レイワ</t>
    </rPh>
    <rPh sb="3" eb="4">
      <t>ネン</t>
    </rPh>
    <rPh sb="6" eb="7">
      <t>ガツ</t>
    </rPh>
    <rPh sb="8" eb="9">
      <t>ニチ</t>
    </rPh>
    <rPh sb="11" eb="13">
      <t>テキヨウ</t>
    </rPh>
    <rPh sb="16" eb="18">
      <t>シシン</t>
    </rPh>
    <rPh sb="19" eb="21">
      <t>タイオウ</t>
    </rPh>
    <phoneticPr fontId="25"/>
  </si>
  <si>
    <t>貯留型施設の計算を追加</t>
    <rPh sb="0" eb="2">
      <t>チョリュウ</t>
    </rPh>
    <rPh sb="2" eb="3">
      <t>ガタ</t>
    </rPh>
    <rPh sb="3" eb="5">
      <t>シセツ</t>
    </rPh>
    <rPh sb="6" eb="8">
      <t>ケイサン</t>
    </rPh>
    <rPh sb="9" eb="11">
      <t>ツイカ</t>
    </rPh>
    <phoneticPr fontId="25"/>
  </si>
  <si>
    <t>浸透型施設のオーバーフロー先を選択するよう改正</t>
    <rPh sb="0" eb="3">
      <t>シントウガタ</t>
    </rPh>
    <rPh sb="3" eb="5">
      <t>シセツ</t>
    </rPh>
    <rPh sb="13" eb="14">
      <t>サキ</t>
    </rPh>
    <rPh sb="15" eb="17">
      <t>センタク</t>
    </rPh>
    <rPh sb="21" eb="23">
      <t>カイセイ</t>
    </rPh>
    <phoneticPr fontId="25"/>
  </si>
  <si>
    <t>非表示</t>
    <rPh sb="0" eb="3">
      <t>ヒヒョウジ</t>
    </rPh>
    <phoneticPr fontId="25"/>
  </si>
  <si>
    <t>非表示</t>
    <phoneticPr fontId="25"/>
  </si>
  <si>
    <t>本エクセルは開発行為の雨水流出抑制指導を円滑に行うため、八千代市役所土木建設課が作成したものです。</t>
    <rPh sb="8" eb="10">
      <t>コウイ</t>
    </rPh>
    <phoneticPr fontId="25"/>
  </si>
  <si>
    <r>
      <t>以下の行為を</t>
    </r>
    <r>
      <rPr>
        <sz val="11"/>
        <color rgb="FFFF0000"/>
        <rFont val="ＭＳ 明朝"/>
        <family val="1"/>
        <charset val="128"/>
      </rPr>
      <t>禁止</t>
    </r>
    <r>
      <rPr>
        <sz val="11"/>
        <color theme="1"/>
        <rFont val="ＭＳ 明朝"/>
        <family val="1"/>
        <charset val="128"/>
      </rPr>
      <t>します。</t>
    </r>
    <phoneticPr fontId="25"/>
  </si>
  <si>
    <t>本エクセルは洪水調整容量を簡易式（簡便法）により求めていますが、開発事業者による</t>
    <rPh sb="32" eb="34">
      <t>カイハツ</t>
    </rPh>
    <rPh sb="34" eb="36">
      <t>ジギョウ</t>
    </rPh>
    <rPh sb="36" eb="37">
      <t>シャ</t>
    </rPh>
    <phoneticPr fontId="25"/>
  </si>
  <si>
    <t>同等以上の計算（貯留追跡法など）を妨げるものではありません。</t>
    <phoneticPr fontId="25"/>
  </si>
  <si>
    <t>条件入力が完了した後、各シート下部の計算書を印刷して土木建設課へ提出してください。（印刷設定済み）</t>
    <rPh sb="0" eb="2">
      <t>ジョウケン</t>
    </rPh>
    <rPh sb="2" eb="4">
      <t>ニュウリョク</t>
    </rPh>
    <rPh sb="5" eb="7">
      <t>カンリョウ</t>
    </rPh>
    <rPh sb="9" eb="10">
      <t>ノチ</t>
    </rPh>
    <rPh sb="11" eb="12">
      <t>カク</t>
    </rPh>
    <rPh sb="15" eb="17">
      <t>カブ</t>
    </rPh>
    <rPh sb="18" eb="21">
      <t>ケイサンショ</t>
    </rPh>
    <rPh sb="22" eb="24">
      <t>インサツ</t>
    </rPh>
    <phoneticPr fontId="25"/>
  </si>
  <si>
    <t>エクセル配布ページ（市ウェブサイト）</t>
  </si>
  <si>
    <t>注意　常に最新版を使用してください。</t>
    <rPh sb="0" eb="2">
      <t>チュウイ</t>
    </rPh>
    <rPh sb="3" eb="4">
      <t>ツネ</t>
    </rPh>
    <rPh sb="5" eb="8">
      <t>サイシンバン</t>
    </rPh>
    <rPh sb="9" eb="11">
      <t>シヨウ</t>
    </rPh>
    <phoneticPr fontId="25"/>
  </si>
  <si>
    <t>「道路内貯留」及び「事業所・共同住宅貯留」における流出係数算定の不具合を修正</t>
    <rPh sb="1" eb="4">
      <t>ドウロナイ</t>
    </rPh>
    <rPh sb="4" eb="6">
      <t>チョリュウ</t>
    </rPh>
    <rPh sb="7" eb="8">
      <t>オヨ</t>
    </rPh>
    <rPh sb="10" eb="13">
      <t>ジギョウショ</t>
    </rPh>
    <rPh sb="14" eb="16">
      <t>キョウドウ</t>
    </rPh>
    <rPh sb="16" eb="18">
      <t>ジュウタク</t>
    </rPh>
    <rPh sb="18" eb="20">
      <t>チョリュウ</t>
    </rPh>
    <rPh sb="25" eb="29">
      <t>リュウシュツケイスウ</t>
    </rPh>
    <rPh sb="29" eb="31">
      <t>サンテイ</t>
    </rPh>
    <rPh sb="32" eb="35">
      <t>フグアイ</t>
    </rPh>
    <rPh sb="36" eb="38">
      <t>シュウセイ</t>
    </rPh>
    <phoneticPr fontId="25"/>
  </si>
  <si>
    <t>現在のバージョン</t>
    <rPh sb="0" eb="2">
      <t>ゲンザイ</t>
    </rPh>
    <phoneticPr fontId="25"/>
  </si>
  <si>
    <t>面積</t>
    <rPh sb="0" eb="2">
      <t>メンセキ</t>
    </rPh>
    <phoneticPr fontId="25"/>
  </si>
  <si>
    <t>面積A(m2)</t>
    <rPh sb="0" eb="2">
      <t>メンセキ</t>
    </rPh>
    <phoneticPr fontId="25"/>
  </si>
  <si>
    <t>A（ｍ2）</t>
    <phoneticPr fontId="25"/>
  </si>
  <si>
    <t>1.0m未満</t>
    <phoneticPr fontId="25"/>
  </si>
  <si>
    <t>適宜エクセルを更新するので、常に最新版を使用してください。</t>
    <rPh sb="0" eb="2">
      <t>テキギ</t>
    </rPh>
    <rPh sb="7" eb="9">
      <t>コウシン</t>
    </rPh>
    <rPh sb="14" eb="15">
      <t>ツネ</t>
    </rPh>
    <rPh sb="16" eb="19">
      <t>サイシンバン</t>
    </rPh>
    <rPh sb="20" eb="22">
      <t>シヨウ</t>
    </rPh>
    <phoneticPr fontId="25"/>
  </si>
  <si>
    <t>浸透計算中の表【比浸透量（kf）の算定式】に模式図を追加</t>
    <rPh sb="0" eb="2">
      <t>シントウ</t>
    </rPh>
    <rPh sb="2" eb="4">
      <t>ケイサン</t>
    </rPh>
    <rPh sb="4" eb="5">
      <t>チュウ</t>
    </rPh>
    <rPh sb="6" eb="7">
      <t>ヒョウ</t>
    </rPh>
    <rPh sb="19" eb="20">
      <t>シキ</t>
    </rPh>
    <rPh sb="22" eb="25">
      <t>モシキズ</t>
    </rPh>
    <rPh sb="26" eb="28">
      <t>ツイカ</t>
    </rPh>
    <phoneticPr fontId="25"/>
  </si>
  <si>
    <r>
      <t>※複数パターンある場合は</t>
    </r>
    <r>
      <rPr>
        <sz val="11"/>
        <color rgb="FFFF0000"/>
        <rFont val="ＭＳ 明朝"/>
        <family val="1"/>
        <charset val="128"/>
      </rPr>
      <t>シートをコピー</t>
    </r>
    <r>
      <rPr>
        <sz val="11"/>
        <color theme="1"/>
        <rFont val="ＭＳ 明朝"/>
        <family val="1"/>
        <charset val="128"/>
      </rPr>
      <t>して使用してください。</t>
    </r>
    <phoneticPr fontId="25"/>
  </si>
  <si>
    <t>Ver1.1</t>
    <phoneticPr fontId="25"/>
  </si>
  <si>
    <t>Ver1.2</t>
    <phoneticPr fontId="25"/>
  </si>
  <si>
    <t>Ver2.0</t>
    <phoneticPr fontId="25"/>
  </si>
  <si>
    <t>ウェブ配布用データ作成マクロ</t>
    <rPh sb="3" eb="6">
      <t>ハイフヨウ</t>
    </rPh>
    <rPh sb="9" eb="11">
      <t>サクセイ</t>
    </rPh>
    <phoneticPr fontId="25"/>
  </si>
  <si>
    <t>処理内容</t>
    <rPh sb="0" eb="4">
      <t>ショリナイヨウ</t>
    </rPh>
    <phoneticPr fontId="25"/>
  </si>
  <si>
    <t>確認メッセージ表示</t>
    <rPh sb="0" eb="2">
      <t>カクニン</t>
    </rPh>
    <rPh sb="7" eb="9">
      <t>ヒョウジ</t>
    </rPh>
    <phoneticPr fontId="25"/>
  </si>
  <si>
    <t>画面更新停止</t>
    <rPh sb="0" eb="4">
      <t>ガメンコウシン</t>
    </rPh>
    <rPh sb="4" eb="6">
      <t>テイシ</t>
    </rPh>
    <phoneticPr fontId="25"/>
  </si>
  <si>
    <t>入力セルを初期値に変更</t>
    <rPh sb="0" eb="2">
      <t>ニュウリョク</t>
    </rPh>
    <rPh sb="5" eb="8">
      <t>ショキチ</t>
    </rPh>
    <rPh sb="9" eb="11">
      <t>ヘンコウ</t>
    </rPh>
    <phoneticPr fontId="25"/>
  </si>
  <si>
    <t>全シートのA1セルを選択､フッター更新する</t>
    <phoneticPr fontId="25"/>
  </si>
  <si>
    <t>本エクセルを上書き保存</t>
    <rPh sb="0" eb="1">
      <t>ホン</t>
    </rPh>
    <rPh sb="6" eb="8">
      <t>ウワガ</t>
    </rPh>
    <rPh sb="9" eb="11">
      <t>ホゾン</t>
    </rPh>
    <phoneticPr fontId="25"/>
  </si>
  <si>
    <t>全シート保護</t>
    <phoneticPr fontId="25"/>
  </si>
  <si>
    <t>「参照」、「kf算定式」、「入力例」シートを非表示（マクロからのみ再表示可能）</t>
    <rPh sb="1" eb="3">
      <t>サンショウ</t>
    </rPh>
    <rPh sb="14" eb="17">
      <t>ニュウリョクレイ</t>
    </rPh>
    <rPh sb="22" eb="25">
      <t>ヒヒョウジ</t>
    </rPh>
    <rPh sb="33" eb="36">
      <t>サイヒョウジ</t>
    </rPh>
    <rPh sb="36" eb="38">
      <t>カノウ</t>
    </rPh>
    <phoneticPr fontId="25"/>
  </si>
  <si>
    <t>ウェブ公開用エクセルをデスクトップに作成</t>
    <phoneticPr fontId="25"/>
  </si>
  <si>
    <t>ウェブ公開用エクセルを閉じる</t>
    <phoneticPr fontId="25"/>
  </si>
  <si>
    <t>画面更新再開</t>
    <phoneticPr fontId="25"/>
  </si>
  <si>
    <t>メッセージを再表示に設定</t>
    <phoneticPr fontId="25"/>
  </si>
  <si>
    <t>メッセージを非表示に設定</t>
    <rPh sb="6" eb="9">
      <t>ヒヒョウジ</t>
    </rPh>
    <rPh sb="10" eb="12">
      <t>セッテイ</t>
    </rPh>
    <phoneticPr fontId="25"/>
  </si>
  <si>
    <t>オリフィス水深補正</t>
    <rPh sb="7" eb="9">
      <t>ホセイ</t>
    </rPh>
    <phoneticPr fontId="25"/>
  </si>
  <si>
    <t>＋</t>
    <phoneticPr fontId="25"/>
  </si>
  <si>
    <t>底版(貯留量の基準となる底版最高部)とオリフィスの高低差を入力する。</t>
    <rPh sb="3" eb="6">
      <t>チョリュウリョウ</t>
    </rPh>
    <rPh sb="7" eb="9">
      <t>キジュン</t>
    </rPh>
    <rPh sb="12" eb="14">
      <t>テイバン</t>
    </rPh>
    <rPh sb="14" eb="16">
      <t>サイコウ</t>
    </rPh>
    <rPh sb="16" eb="17">
      <t>ブ</t>
    </rPh>
    <rPh sb="25" eb="28">
      <t>コウテイサ</t>
    </rPh>
    <rPh sb="29" eb="31">
      <t>ニュウリョク</t>
    </rPh>
    <phoneticPr fontId="25"/>
  </si>
  <si>
    <t>貯留水深(h1)</t>
    <phoneticPr fontId="25"/>
  </si>
  <si>
    <t>貯留水深（ｈ1）</t>
    <phoneticPr fontId="25"/>
  </si>
  <si>
    <t>オリフィス水深(h2)</t>
    <phoneticPr fontId="25"/>
  </si>
  <si>
    <t>h2</t>
    <phoneticPr fontId="25"/>
  </si>
  <si>
    <t>h1</t>
    <phoneticPr fontId="25"/>
  </si>
  <si>
    <t>HWLとオリフィス径中心の高低差</t>
    <rPh sb="13" eb="16">
      <t>コウテイサ</t>
    </rPh>
    <phoneticPr fontId="25"/>
  </si>
  <si>
    <t>h1'=</t>
    <phoneticPr fontId="25"/>
  </si>
  <si>
    <t>HWL</t>
    <phoneticPr fontId="25"/>
  </si>
  <si>
    <t>※直接入力も可能</t>
    <rPh sb="1" eb="3">
      <t>チョクセツ</t>
    </rPh>
    <rPh sb="3" eb="5">
      <t>ニュウリョク</t>
    </rPh>
    <rPh sb="6" eb="8">
      <t>カノウ</t>
    </rPh>
    <phoneticPr fontId="25"/>
  </si>
  <si>
    <t>※直接入力も可能</t>
    <phoneticPr fontId="25"/>
  </si>
  <si>
    <t>駐車場等面積</t>
    <rPh sb="3" eb="4">
      <t>トウ</t>
    </rPh>
    <phoneticPr fontId="25"/>
  </si>
  <si>
    <t>駐車場等の集水可否</t>
    <rPh sb="3" eb="4">
      <t>トウ</t>
    </rPh>
    <rPh sb="7" eb="9">
      <t>カヒ</t>
    </rPh>
    <phoneticPr fontId="25"/>
  </si>
  <si>
    <t>駐車場以外にも舗装がある場合は加算する。　</t>
    <phoneticPr fontId="25"/>
  </si>
  <si>
    <t>駐車場１区画当たり12.5m2を標準とする。</t>
    <rPh sb="6" eb="7">
      <t>ア</t>
    </rPh>
    <rPh sb="16" eb="18">
      <t>ヒョウジュン</t>
    </rPh>
    <phoneticPr fontId="25"/>
  </si>
  <si>
    <t>※②</t>
    <phoneticPr fontId="25"/>
  </si>
  <si>
    <t>用途地域の建ぺい率とすること。</t>
    <rPh sb="0" eb="4">
      <t>ヨウトチイキ</t>
    </rPh>
    <rPh sb="5" eb="6">
      <t>ケン</t>
    </rPh>
    <rPh sb="8" eb="9">
      <t>リツ</t>
    </rPh>
    <phoneticPr fontId="25"/>
  </si>
  <si>
    <t>原則「コンクリート」とし，用途や地耐力に応じて「砕石」を可</t>
    <rPh sb="0" eb="2">
      <t>ゲンソク</t>
    </rPh>
    <rPh sb="13" eb="15">
      <t>ヨウト</t>
    </rPh>
    <rPh sb="20" eb="21">
      <t>オウ</t>
    </rPh>
    <phoneticPr fontId="25"/>
  </si>
  <si>
    <t>集水区域用</t>
    <rPh sb="0" eb="2">
      <t>シュウスイ</t>
    </rPh>
    <rPh sb="2" eb="4">
      <t>クイキ</t>
    </rPh>
    <rPh sb="4" eb="5">
      <t>ヨウ</t>
    </rPh>
    <phoneticPr fontId="25"/>
  </si>
  <si>
    <t>直接放流区域用</t>
    <rPh sb="0" eb="4">
      <t>チョクセツホウリュウ</t>
    </rPh>
    <rPh sb="4" eb="6">
      <t>クイキ</t>
    </rPh>
    <rPh sb="6" eb="7">
      <t>ヨウ</t>
    </rPh>
    <phoneticPr fontId="25"/>
  </si>
  <si>
    <t>↑模式図切替用</t>
    <rPh sb="1" eb="4">
      <t>モシキズ</t>
    </rPh>
    <rPh sb="4" eb="7">
      <t>キリカエヨウ</t>
    </rPh>
    <phoneticPr fontId="25"/>
  </si>
  <si>
    <t>砕石</t>
    <phoneticPr fontId="25"/>
  </si>
  <si>
    <t>「②-1浸透_公共用地」は宅地造成時に専用用地や道路内に浸透型施設</t>
    <phoneticPr fontId="25"/>
  </si>
  <si>
    <t>「②-2浸透_宅造」は宅地造成時に宅地内に浸透型施設</t>
    <phoneticPr fontId="25"/>
  </si>
  <si>
    <t>「③浸透_住宅・事業所の建築」は住宅や事業所等を建築時に浸透型施設</t>
    <rPh sb="2" eb="4">
      <t>シントウ</t>
    </rPh>
    <rPh sb="5" eb="7">
      <t>ジュウタク</t>
    </rPh>
    <rPh sb="8" eb="11">
      <t>ジギョウショ</t>
    </rPh>
    <rPh sb="12" eb="14">
      <t>ケンチク</t>
    </rPh>
    <rPh sb="16" eb="18">
      <t>ジュウタク</t>
    </rPh>
    <rPh sb="19" eb="22">
      <t>ジギョウショ</t>
    </rPh>
    <rPh sb="22" eb="23">
      <t>トウ</t>
    </rPh>
    <rPh sb="24" eb="26">
      <t>ケンチク</t>
    </rPh>
    <rPh sb="26" eb="27">
      <t>ジ</t>
    </rPh>
    <rPh sb="28" eb="31">
      <t>シントウガタ</t>
    </rPh>
    <rPh sb="31" eb="33">
      <t>シセツ</t>
    </rPh>
    <phoneticPr fontId="25"/>
  </si>
  <si>
    <t>駐車場等の雨水を他の抑制施設へ流す場合は「直接放流(別施設で抑制)」を選択</t>
    <rPh sb="3" eb="4">
      <t>トウ</t>
    </rPh>
    <rPh sb="8" eb="9">
      <t>タ</t>
    </rPh>
    <rPh sb="10" eb="12">
      <t>ヨクセイ</t>
    </rPh>
    <rPh sb="12" eb="14">
      <t>シセツ</t>
    </rPh>
    <rPh sb="26" eb="27">
      <t>ベツ</t>
    </rPh>
    <rPh sb="27" eb="29">
      <t>シセツ</t>
    </rPh>
    <rPh sb="30" eb="32">
      <t>ヨクセイ</t>
    </rPh>
    <phoneticPr fontId="25"/>
  </si>
  <si>
    <t>駐車場等の雨水を本抑制施設へ集水する場合はレインシューターなどを設置すること。</t>
    <rPh sb="3" eb="4">
      <t>トウ</t>
    </rPh>
    <rPh sb="8" eb="9">
      <t>ホン</t>
    </rPh>
    <rPh sb="9" eb="11">
      <t>ヨクセイ</t>
    </rPh>
    <phoneticPr fontId="25"/>
  </si>
  <si>
    <t>雨水流出抑制計算書（住宅・事業所の建築時に設置する浸透型抑制施設）</t>
    <rPh sb="10" eb="12">
      <t>ジュウタク</t>
    </rPh>
    <rPh sb="17" eb="19">
      <t>ケンチク</t>
    </rPh>
    <rPh sb="19" eb="20">
      <t>ジ</t>
    </rPh>
    <rPh sb="28" eb="30">
      <t>ヨクセイ</t>
    </rPh>
    <phoneticPr fontId="25"/>
  </si>
  <si>
    <t>※集水・直接放流区域が複雑な場合は「③浸透_住宅・事業所の建築」を使用してください。</t>
    <rPh sb="1" eb="3">
      <t>シュウスイ</t>
    </rPh>
    <rPh sb="4" eb="8">
      <t>チョクセツホウリュウ</t>
    </rPh>
    <rPh sb="8" eb="10">
      <t>クイキ</t>
    </rPh>
    <rPh sb="11" eb="13">
      <t>フクザツ</t>
    </rPh>
    <rPh sb="14" eb="16">
      <t>バアイ</t>
    </rPh>
    <rPh sb="22" eb="24">
      <t>ジュウタク</t>
    </rPh>
    <rPh sb="29" eb="31">
      <t>ケンチク</t>
    </rPh>
    <rPh sb="33" eb="35">
      <t>シヨウ</t>
    </rPh>
    <phoneticPr fontId="25"/>
  </si>
  <si>
    <t>専用住宅建築では駐車場１区画当たり12.5m2を標準とする。</t>
    <rPh sb="0" eb="2">
      <t>センヨウ</t>
    </rPh>
    <rPh sb="2" eb="4">
      <t>ジュウタク</t>
    </rPh>
    <rPh sb="4" eb="6">
      <t>ケンチク</t>
    </rPh>
    <phoneticPr fontId="25"/>
  </si>
  <si>
    <t>宅地造成面積</t>
    <rPh sb="2" eb="4">
      <t>ゾウセイ</t>
    </rPh>
    <phoneticPr fontId="25"/>
  </si>
  <si>
    <t>宅地造成面積はパターン分け(145m2,147m2,・・・⇒150m2に集約)すること。</t>
    <rPh sb="2" eb="4">
      <t>ゾウセイ</t>
    </rPh>
    <rPh sb="36" eb="38">
      <t>シュウヤク</t>
    </rPh>
    <phoneticPr fontId="25"/>
  </si>
  <si>
    <t>Ver2.1</t>
    <phoneticPr fontId="25"/>
  </si>
  <si>
    <t>専用住宅の建築で使用するシートが分かりにくい説明だったためシート名等を見直し</t>
    <rPh sb="0" eb="2">
      <t>センヨウ</t>
    </rPh>
    <rPh sb="2" eb="4">
      <t>ジュウタク</t>
    </rPh>
    <rPh sb="5" eb="7">
      <t>ケンチク</t>
    </rPh>
    <rPh sb="8" eb="10">
      <t>シヨウ</t>
    </rPh>
    <rPh sb="16" eb="17">
      <t>ワ</t>
    </rPh>
    <rPh sb="22" eb="24">
      <t>セツメイ</t>
    </rPh>
    <rPh sb="32" eb="33">
      <t>メイ</t>
    </rPh>
    <rPh sb="33" eb="34">
      <t>トウ</t>
    </rPh>
    <rPh sb="35" eb="37">
      <t>ミナオ</t>
    </rPh>
    <phoneticPr fontId="25"/>
  </si>
  <si>
    <t>指定行(右側の赤色セル)を非表示</t>
    <rPh sb="0" eb="3">
      <t>シテイギョウ</t>
    </rPh>
    <rPh sb="4" eb="6">
      <t>ミギガワ</t>
    </rPh>
    <rPh sb="7" eb="9">
      <t>アカイロ</t>
    </rPh>
    <rPh sb="13" eb="16">
      <t>ヒヒョウジ</t>
    </rPh>
    <phoneticPr fontId="25"/>
  </si>
  <si>
    <t>条件入力</t>
    <rPh sb="0" eb="2">
      <t>ジョウケン</t>
    </rPh>
    <phoneticPr fontId="25"/>
  </si>
  <si>
    <t>)＝</t>
    <phoneticPr fontId="25"/>
  </si>
  <si>
    <t>※オリフィス径は閉塞しないよう30mm以上とする</t>
    <phoneticPr fontId="25"/>
  </si>
  <si>
    <t>２　計算結果</t>
    <rPh sb="2" eb="4">
      <t>ケイサン</t>
    </rPh>
    <rPh sb="4" eb="6">
      <t>ケッカ</t>
    </rPh>
    <phoneticPr fontId="25"/>
  </si>
  <si>
    <t>mm/hr</t>
    <phoneticPr fontId="25"/>
  </si>
  <si>
    <t>条件入力欄を印刷範囲に追加</t>
    <rPh sb="0" eb="4">
      <t>ジョウケンニュウリョク</t>
    </rPh>
    <rPh sb="4" eb="5">
      <t>ラン</t>
    </rPh>
    <rPh sb="6" eb="8">
      <t>インサツ</t>
    </rPh>
    <rPh sb="8" eb="10">
      <t>ハンイ</t>
    </rPh>
    <rPh sb="11" eb="13">
      <t>ツイカ</t>
    </rPh>
    <phoneticPr fontId="25"/>
  </si>
  <si>
    <t>１　計算条件</t>
    <phoneticPr fontId="25"/>
  </si>
  <si>
    <t>①</t>
  </si>
  <si>
    <t>②</t>
  </si>
  <si>
    <t>③</t>
  </si>
  <si>
    <t>貯留型抑制施設の空隙率</t>
  </si>
  <si>
    <t>④</t>
  </si>
  <si>
    <t>抑制施設の種類と規模</t>
  </si>
  <si>
    <t>雨水流出抑制施設</t>
  </si>
  <si>
    <t>高さ</t>
  </si>
  <si>
    <t>面積</t>
  </si>
  <si>
    <t>数量</t>
  </si>
  <si>
    <t>H（ｍ）</t>
  </si>
  <si>
    <t>A（ｍ2）</t>
  </si>
  <si>
    <t>N(個)</t>
  </si>
  <si>
    <t>⑤</t>
  </si>
  <si>
    <t>オーバーフローの接続先</t>
  </si>
  <si>
    <t>⑥</t>
  </si>
  <si>
    <t>宅地施設の抑制面積</t>
  </si>
  <si>
    <t>⑦</t>
  </si>
  <si>
    <t>⑧</t>
  </si>
  <si>
    <t>オリフィス水深補正</t>
  </si>
  <si>
    <t>h1'=</t>
  </si>
  <si>
    <t>直接放流量（Q直）</t>
  </si>
  <si>
    <t>設計容量（V）</t>
  </si>
  <si>
    <t>貯留水深（ｈ1）</t>
  </si>
  <si>
    <t>オリフィス径（ｄ）</t>
  </si>
  <si>
    <t>抑制施設からの放流量（QA）</t>
  </si>
  <si>
    <t>抑制施設の空隙率</t>
  </si>
  <si>
    <t>抑制施設の基礎形式</t>
  </si>
  <si>
    <t>幅</t>
  </si>
  <si>
    <t>延長</t>
  </si>
  <si>
    <t>L（ｍ）</t>
  </si>
  <si>
    <t>⑨</t>
  </si>
  <si>
    <t>宅地造成面積</t>
  </si>
  <si>
    <t>建ぺい率</t>
  </si>
  <si>
    <t>駐車場等面積</t>
  </si>
  <si>
    <t>駐車場等の集水可否</t>
  </si>
  <si>
    <t>土地利用と流出係数</t>
  </si>
  <si>
    <t>延長
L（ｍ）</t>
  </si>
  <si>
    <t>数量
N(個)</t>
  </si>
  <si>
    <t>矩形ます(側面・底面浸透)</t>
  </si>
  <si>
    <t>主な改正履歴</t>
    <rPh sb="0" eb="1">
      <t>オモ</t>
    </rPh>
    <rPh sb="2" eb="4">
      <t>カイセイ</t>
    </rPh>
    <rPh sb="4" eb="6">
      <t>リレキ</t>
    </rPh>
    <phoneticPr fontId="25"/>
  </si>
  <si>
    <t>直径</t>
    <phoneticPr fontId="25"/>
  </si>
  <si>
    <t>D（ｍ）</t>
    <phoneticPr fontId="25"/>
  </si>
  <si>
    <t>浸透トレンチ</t>
  </si>
  <si>
    <t>正方形ます(側面・底面浸透)</t>
    <rPh sb="0" eb="3">
      <t>セイホウケイ</t>
    </rPh>
    <phoneticPr fontId="27"/>
  </si>
  <si>
    <t>浸透トレンチ</t>
    <rPh sb="0" eb="2">
      <t>シントウ</t>
    </rPh>
    <phoneticPr fontId="25"/>
  </si>
  <si>
    <t>正方形ます</t>
    <rPh sb="0" eb="3">
      <t>セイホウケイ</t>
    </rPh>
    <phoneticPr fontId="25"/>
  </si>
  <si>
    <t>D</t>
    <phoneticPr fontId="25"/>
  </si>
  <si>
    <t>H</t>
    <phoneticPr fontId="25"/>
  </si>
  <si>
    <t>W</t>
    <phoneticPr fontId="25"/>
  </si>
  <si>
    <t>浸透トレンチ</t>
    <phoneticPr fontId="25"/>
  </si>
  <si>
    <t>正方形ます(側面・底面浸透)</t>
    <rPh sb="0" eb="3">
      <t>セイホウケイ</t>
    </rPh>
    <phoneticPr fontId="25"/>
  </si>
  <si>
    <t>埋戻材の空隙率</t>
  </si>
  <si>
    <t>直径D(m)</t>
    <phoneticPr fontId="25"/>
  </si>
  <si>
    <t>数量N(個)</t>
    <phoneticPr fontId="25"/>
  </si>
  <si>
    <t>H≦1.5m</t>
    <phoneticPr fontId="25"/>
  </si>
  <si>
    <t>W≦1.5m</t>
    <phoneticPr fontId="25"/>
  </si>
  <si>
    <t>D≦1m</t>
    <phoneticPr fontId="25"/>
  </si>
  <si>
    <t>kf=ａH^2+ｂH+c</t>
    <phoneticPr fontId="25"/>
  </si>
  <si>
    <t>H:設計水頭(m)、W:施設幅(m)</t>
    <phoneticPr fontId="25"/>
  </si>
  <si>
    <t>0.120W+0.985</t>
    <phoneticPr fontId="25"/>
  </si>
  <si>
    <t>1.34W+0.677</t>
    <phoneticPr fontId="25"/>
  </si>
  <si>
    <t>7.837W+0.82</t>
    <phoneticPr fontId="25"/>
  </si>
  <si>
    <t>2.858W-0.283</t>
    <phoneticPr fontId="25"/>
  </si>
  <si>
    <t>比浸透量は単位長さ当りの値</t>
    <rPh sb="0" eb="1">
      <t>ヒ</t>
    </rPh>
    <rPh sb="1" eb="4">
      <t>シントウリョウ</t>
    </rPh>
    <rPh sb="5" eb="7">
      <t>タンイ</t>
    </rPh>
    <rPh sb="7" eb="8">
      <t>ナガ</t>
    </rPh>
    <rPh sb="9" eb="10">
      <t>アタ</t>
    </rPh>
    <rPh sb="12" eb="13">
      <t>アタイ</t>
    </rPh>
    <phoneticPr fontId="25"/>
  </si>
  <si>
    <t>Hが1.5ｍを超える場合は適用外</t>
    <rPh sb="7" eb="8">
      <t>コ</t>
    </rPh>
    <rPh sb="10" eb="12">
      <t>バアイ</t>
    </rPh>
    <rPh sb="13" eb="16">
      <t>テキヨウガイ</t>
    </rPh>
    <phoneticPr fontId="25"/>
  </si>
  <si>
    <t>H(m)</t>
    <phoneticPr fontId="25"/>
  </si>
  <si>
    <t>W(m)</t>
    <phoneticPr fontId="25"/>
  </si>
  <si>
    <t>D(m)</t>
    <phoneticPr fontId="25"/>
  </si>
  <si>
    <t>L(m)</t>
    <phoneticPr fontId="25"/>
  </si>
  <si>
    <t>Ｎ(個)</t>
    <phoneticPr fontId="25"/>
  </si>
  <si>
    <t>V(m3)</t>
    <phoneticPr fontId="25"/>
  </si>
  <si>
    <t>貯留施設の場合</t>
    <rPh sb="0" eb="2">
      <t>チョリュウ</t>
    </rPh>
    <rPh sb="2" eb="4">
      <t>シセツ</t>
    </rPh>
    <rPh sb="5" eb="7">
      <t>バアイ</t>
    </rPh>
    <phoneticPr fontId="25"/>
  </si>
  <si>
    <t>Ｈ</t>
    <phoneticPr fontId="25"/>
  </si>
  <si>
    <t>Ｗ</t>
    <phoneticPr fontId="25"/>
  </si>
  <si>
    <t>Ｎ</t>
    <phoneticPr fontId="25"/>
  </si>
  <si>
    <t>浸透トレンチの場合</t>
    <rPh sb="0" eb="2">
      <t>シントウ</t>
    </rPh>
    <phoneticPr fontId="25"/>
  </si>
  <si>
    <t>Ｄ</t>
    <phoneticPr fontId="25"/>
  </si>
  <si>
    <t>浸透ますの場合</t>
    <phoneticPr fontId="25"/>
  </si>
  <si>
    <t>高さ（ｍ）</t>
    <rPh sb="0" eb="1">
      <t>タカ</t>
    </rPh>
    <phoneticPr fontId="25"/>
  </si>
  <si>
    <t>幅（ｍ）</t>
    <rPh sb="0" eb="1">
      <t>ハバ</t>
    </rPh>
    <phoneticPr fontId="25"/>
  </si>
  <si>
    <t>直径（ｍ）</t>
    <phoneticPr fontId="25"/>
  </si>
  <si>
    <t>延長（ｍ）</t>
    <rPh sb="0" eb="2">
      <t>エンチョウ</t>
    </rPh>
    <phoneticPr fontId="25"/>
  </si>
  <si>
    <t>貯留施設の空隙率</t>
    <phoneticPr fontId="25"/>
  </si>
  <si>
    <t>＝</t>
    <phoneticPr fontId="25"/>
  </si>
  <si>
    <t>埋戻材の空隙率</t>
    <phoneticPr fontId="25"/>
  </si>
  <si>
    <t>数量（個）</t>
    <rPh sb="0" eb="2">
      <t>スウリョウ</t>
    </rPh>
    <rPh sb="3" eb="4">
      <t>コ</t>
    </rPh>
    <phoneticPr fontId="25"/>
  </si>
  <si>
    <t>(1.401W+0.684)L+(1.214W-0.834)</t>
    <phoneticPr fontId="25"/>
  </si>
  <si>
    <t>、</t>
    <phoneticPr fontId="25"/>
  </si>
  <si>
    <t>貯留浸透施設の空隙率</t>
    <rPh sb="0" eb="2">
      <t>チョリュウ</t>
    </rPh>
    <rPh sb="2" eb="4">
      <t>シントウ</t>
    </rPh>
    <rPh sb="4" eb="6">
      <t>シセツ</t>
    </rPh>
    <phoneticPr fontId="25"/>
  </si>
  <si>
    <t>貯留浸透施設の基礎形式</t>
    <rPh sb="0" eb="2">
      <t>チョリュウ</t>
    </rPh>
    <rPh sb="2" eb="4">
      <t>シントウ</t>
    </rPh>
    <rPh sb="4" eb="6">
      <t>シセツ</t>
    </rPh>
    <rPh sb="7" eb="9">
      <t>キソ</t>
    </rPh>
    <rPh sb="9" eb="11">
      <t>ケイシキ</t>
    </rPh>
    <phoneticPr fontId="25"/>
  </si>
  <si>
    <t>使用する製品(貯留槽)の空隙率λを入力。例）パネケープ0.94</t>
    <rPh sb="4" eb="6">
      <t>セイヒン</t>
    </rPh>
    <rPh sb="7" eb="10">
      <t>チョリュウソウ</t>
    </rPh>
    <phoneticPr fontId="25"/>
  </si>
  <si>
    <t>浸透トレンチと浸透ますの埋戻材空隙率を入力。例）微細砂の場合は0.3</t>
    <rPh sb="0" eb="2">
      <t>シントウ</t>
    </rPh>
    <rPh sb="7" eb="9">
      <t>シントウ</t>
    </rPh>
    <rPh sb="12" eb="14">
      <t>ウメモド</t>
    </rPh>
    <rPh sb="14" eb="15">
      <t>ザイ</t>
    </rPh>
    <rPh sb="15" eb="18">
      <t>クウゲキリツ</t>
    </rPh>
    <rPh sb="19" eb="21">
      <t>ニュウリョク</t>
    </rPh>
    <rPh sb="22" eb="23">
      <t>レイ</t>
    </rPh>
    <phoneticPr fontId="25"/>
  </si>
  <si>
    <t>3.297L+(1.971W+4.663)</t>
    <phoneticPr fontId="25"/>
  </si>
  <si>
    <t>L≦200m、W≦4m</t>
    <phoneticPr fontId="25"/>
  </si>
  <si>
    <t>kf=ａH+ｂ</t>
    <phoneticPr fontId="25"/>
  </si>
  <si>
    <t>H:設計水頭(m)、L:施設延長(m)、W:施設幅(m)</t>
    <phoneticPr fontId="25"/>
  </si>
  <si>
    <t>(1.401W+0684)L+(1.214W-0.834)</t>
    <phoneticPr fontId="25"/>
  </si>
  <si>
    <t>許容放流量に相当する降雨強度（mm/hr）  rc = 360･QA / (f･A)</t>
    <phoneticPr fontId="25"/>
  </si>
  <si>
    <t>集水面積に対する平均浸透強度（mm/hr）  Fc = QB / (10･f･A)</t>
    <phoneticPr fontId="25"/>
  </si>
  <si>
    <t>、</t>
    <phoneticPr fontId="25"/>
  </si>
  <si>
    <t>、</t>
    <phoneticPr fontId="25"/>
  </si>
  <si>
    <t>、</t>
    <phoneticPr fontId="25"/>
  </si>
  <si>
    <t>、</t>
    <phoneticPr fontId="25"/>
  </si>
  <si>
    <r>
      <t>抑制施設の種類と規模</t>
    </r>
    <r>
      <rPr>
        <sz val="11"/>
        <color rgb="FFFF0000"/>
        <rFont val="ＭＳ 明朝"/>
        <family val="1"/>
        <charset val="128"/>
      </rPr>
      <t>（開発検査までに設置されるもの）</t>
    </r>
    <rPh sb="0" eb="2">
      <t>ヨクセイ</t>
    </rPh>
    <rPh sb="11" eb="15">
      <t>カイハツケンサ</t>
    </rPh>
    <rPh sb="18" eb="20">
      <t>セッチ</t>
    </rPh>
    <phoneticPr fontId="25"/>
  </si>
  <si>
    <t>千葉県における宅地開発等に伴う雨水排水・貯留浸透計画策定の手引（千葉県県土整備部）</t>
    <phoneticPr fontId="25"/>
  </si>
  <si>
    <t>八千代市は責任を一切負担しません。</t>
    <phoneticPr fontId="25"/>
  </si>
  <si>
    <t>「国県私が管理する排水施設」は国道、県道、私道の道路側溝などを指す。</t>
    <rPh sb="1" eb="2">
      <t>クニ</t>
    </rPh>
    <rPh sb="2" eb="3">
      <t>ケン</t>
    </rPh>
    <rPh sb="3" eb="4">
      <t>ワタクシ</t>
    </rPh>
    <rPh sb="5" eb="7">
      <t>カンリ</t>
    </rPh>
    <rPh sb="9" eb="11">
      <t>ハイスイ</t>
    </rPh>
    <rPh sb="11" eb="13">
      <t>シセツ</t>
    </rPh>
    <rPh sb="15" eb="17">
      <t>コクドウ</t>
    </rPh>
    <rPh sb="18" eb="20">
      <t>ケンドウ</t>
    </rPh>
    <rPh sb="21" eb="22">
      <t>ワタクシ</t>
    </rPh>
    <rPh sb="22" eb="23">
      <t>ドウ</t>
    </rPh>
    <rPh sb="24" eb="26">
      <t>ドウロ</t>
    </rPh>
    <rPh sb="26" eb="28">
      <t>ソッコウ</t>
    </rPh>
    <rPh sb="31" eb="32">
      <t>サ</t>
    </rPh>
    <phoneticPr fontId="25"/>
  </si>
  <si>
    <t>「市道路排水施設」は市道の道路側溝や地域排水管などを指す。</t>
    <rPh sb="1" eb="2">
      <t>シ</t>
    </rPh>
    <rPh sb="2" eb="4">
      <t>ドウロ</t>
    </rPh>
    <rPh sb="4" eb="6">
      <t>ハイスイ</t>
    </rPh>
    <rPh sb="6" eb="8">
      <t>シセツ</t>
    </rPh>
    <rPh sb="10" eb="12">
      <t>シドウ</t>
    </rPh>
    <rPh sb="13" eb="17">
      <t>ドウロソッコウ</t>
    </rPh>
    <rPh sb="18" eb="23">
      <t>チイキハイスイカン</t>
    </rPh>
    <rPh sb="26" eb="27">
      <t>サ</t>
    </rPh>
    <phoneticPr fontId="25"/>
  </si>
  <si>
    <t>市道路排水施設</t>
    <phoneticPr fontId="25"/>
  </si>
  <si>
    <t>「①貯留_調整池」は自然流下（穴あき式）の調整池や地下ピットなど</t>
    <rPh sb="2" eb="4">
      <t>チョリュウ</t>
    </rPh>
    <rPh sb="5" eb="8">
      <t>チョウセイイケ</t>
    </rPh>
    <rPh sb="10" eb="14">
      <t>シゼンリュウカ</t>
    </rPh>
    <rPh sb="15" eb="16">
      <t>アナ</t>
    </rPh>
    <rPh sb="18" eb="19">
      <t>シキ</t>
    </rPh>
    <rPh sb="21" eb="24">
      <t>チョウセイイケ</t>
    </rPh>
    <rPh sb="25" eb="27">
      <t>チカ</t>
    </rPh>
    <phoneticPr fontId="25"/>
  </si>
  <si>
    <t>開発検査までに設置されない施設は計上不可</t>
    <rPh sb="0" eb="2">
      <t>カイハツ</t>
    </rPh>
    <rPh sb="2" eb="4">
      <t>ケンサ</t>
    </rPh>
    <rPh sb="7" eb="9">
      <t>セッチ</t>
    </rPh>
    <rPh sb="13" eb="15">
      <t>シセツ</t>
    </rPh>
    <rPh sb="16" eb="18">
      <t>ケイジョウ</t>
    </rPh>
    <rPh sb="18" eb="20">
      <t>フカ</t>
    </rPh>
    <phoneticPr fontId="25"/>
  </si>
  <si>
    <t>例）宅地造成後の建築時に設置する浸透ますなどは計上不可</t>
    <rPh sb="0" eb="1">
      <t>レイ</t>
    </rPh>
    <phoneticPr fontId="25"/>
  </si>
  <si>
    <r>
      <t>抑制施設の種類と規模</t>
    </r>
    <r>
      <rPr>
        <sz val="11"/>
        <color rgb="FFFF0000"/>
        <rFont val="ＭＳ 明朝"/>
        <family val="1"/>
        <charset val="128"/>
      </rPr>
      <t>（開発検査までに設置されるもの）</t>
    </r>
    <phoneticPr fontId="25"/>
  </si>
  <si>
    <t>現地浸透試験などにより算定。もしくは浸透適地かつ開発面積1ha未満の場合は0.02m/hも可</t>
    <phoneticPr fontId="25"/>
  </si>
  <si>
    <t>Ver3.0</t>
    <phoneticPr fontId="25"/>
  </si>
  <si>
    <t>指針改正に併せて一部の計算シートで浸透ますと浸透トレンチを対応（メインの計算は変更無し）</t>
    <rPh sb="0" eb="2">
      <t>シシン</t>
    </rPh>
    <rPh sb="2" eb="4">
      <t>カイセイ</t>
    </rPh>
    <rPh sb="5" eb="6">
      <t>アワ</t>
    </rPh>
    <rPh sb="36" eb="38">
      <t>ケイサン</t>
    </rPh>
    <rPh sb="39" eb="41">
      <t>ヘンコウ</t>
    </rPh>
    <rPh sb="41" eb="42">
      <t>ナ</t>
    </rPh>
    <phoneticPr fontId="25"/>
  </si>
  <si>
    <t>浸透トレンチ</t>
    <rPh sb="0" eb="2">
      <t>シントウ</t>
    </rPh>
    <phoneticPr fontId="25"/>
  </si>
  <si>
    <t>正方形ます(側面・底面浸透)</t>
    <rPh sb="0" eb="3">
      <t>セイホウケイ</t>
    </rPh>
    <rPh sb="6" eb="8">
      <t>ソクメン</t>
    </rPh>
    <rPh sb="9" eb="11">
      <t>テイメン</t>
    </rPh>
    <rPh sb="11" eb="13">
      <t>シントウ</t>
    </rPh>
    <phoneticPr fontId="25"/>
  </si>
  <si>
    <t>①</t>
    <phoneticPr fontId="25"/>
  </si>
  <si>
    <t>区域を複数分ける場合に入力</t>
    <rPh sb="0" eb="2">
      <t>クイキ</t>
    </rPh>
    <rPh sb="3" eb="5">
      <t>フクスウ</t>
    </rPh>
    <rPh sb="5" eb="6">
      <t>ワ</t>
    </rPh>
    <rPh sb="8" eb="10">
      <t>バアイ</t>
    </rPh>
    <rPh sb="11" eb="13">
      <t>ニュウリョク</t>
    </rPh>
    <phoneticPr fontId="25"/>
  </si>
  <si>
    <t>区域名（任意入力）</t>
    <rPh sb="0" eb="3">
      <t>クイキメイ</t>
    </rPh>
    <rPh sb="4" eb="6">
      <t>ニンイ</t>
    </rPh>
    <rPh sb="6" eb="8">
      <t>ニュウリョク</t>
    </rPh>
    <phoneticPr fontId="25"/>
  </si>
  <si>
    <t>②</t>
    <phoneticPr fontId="25"/>
  </si>
  <si>
    <t>③</t>
    <phoneticPr fontId="25"/>
  </si>
  <si>
    <t>④</t>
    <phoneticPr fontId="25"/>
  </si>
  <si>
    <t>⑤</t>
    <phoneticPr fontId="25"/>
  </si>
  <si>
    <t>⑥</t>
    <phoneticPr fontId="25"/>
  </si>
  <si>
    <t>⑦</t>
    <phoneticPr fontId="25"/>
  </si>
  <si>
    <t>⑧</t>
    <phoneticPr fontId="25"/>
  </si>
  <si>
    <t>⑨</t>
    <phoneticPr fontId="25"/>
  </si>
  <si>
    <t>⑪</t>
    <phoneticPr fontId="25"/>
  </si>
  <si>
    <t>※⑪</t>
    <phoneticPr fontId="25"/>
  </si>
  <si>
    <t>②</t>
    <phoneticPr fontId="25"/>
  </si>
  <si>
    <t>③</t>
    <phoneticPr fontId="25"/>
  </si>
  <si>
    <t>④</t>
    <phoneticPr fontId="25"/>
  </si>
  <si>
    <t>⑤</t>
    <phoneticPr fontId="25"/>
  </si>
  <si>
    <t>⑥</t>
    <phoneticPr fontId="25"/>
  </si>
  <si>
    <t>⑦</t>
    <phoneticPr fontId="25"/>
  </si>
  <si>
    <t>⑧</t>
    <phoneticPr fontId="25"/>
  </si>
  <si>
    <t>⑨</t>
    <phoneticPr fontId="25"/>
  </si>
  <si>
    <t>⑩</t>
    <phoneticPr fontId="25"/>
  </si>
  <si>
    <t>⑪</t>
    <phoneticPr fontId="25"/>
  </si>
  <si>
    <t>②</t>
    <phoneticPr fontId="25"/>
  </si>
  <si>
    <t>③</t>
    <phoneticPr fontId="25"/>
  </si>
  <si>
    <t>Ver3.1</t>
    <phoneticPr fontId="25"/>
  </si>
  <si>
    <t>区域名入力欄を追加</t>
    <rPh sb="0" eb="3">
      <t>クイキメイ</t>
    </rPh>
    <rPh sb="3" eb="6">
      <t>ニュウリョクラン</t>
    </rPh>
    <rPh sb="7" eb="9">
      <t>ツイカ</t>
    </rPh>
    <phoneticPr fontId="25"/>
  </si>
  <si>
    <t>雨水流出抑制計算ver3.1</t>
    <phoneticPr fontId="25"/>
  </si>
  <si>
    <t>大型貯留槽（側面・底面浸透）&lt;Ｗ=30m,30m≦Ｌ≦150m&gt;</t>
    <phoneticPr fontId="25"/>
  </si>
  <si>
    <t>-</t>
    <phoneticPr fontId="25"/>
  </si>
  <si>
    <t>大型貯留槽（底面浸透）&lt;Ｗ=30m,30m≦Ｌ≦150m&gt;</t>
    <phoneticPr fontId="25"/>
  </si>
  <si>
    <t>大型貯留槽_側面・底面浸透20_30</t>
    <phoneticPr fontId="25"/>
  </si>
  <si>
    <t>大型貯留槽_側面浸透20_30</t>
    <phoneticPr fontId="25"/>
  </si>
  <si>
    <t>6.43X^-0.444</t>
    <phoneticPr fontId="25"/>
  </si>
  <si>
    <t>W=30m</t>
    <phoneticPr fontId="25"/>
  </si>
  <si>
    <t>2.17X^-0.518</t>
    <phoneticPr fontId="25"/>
  </si>
  <si>
    <t>「③浸透_住宅・事業所の建築」シートの大型貯留槽横幅を30ｍまで対応（20ｍ⇒30ｍ）</t>
    <rPh sb="19" eb="24">
      <t>オオガタチョリュウソウ</t>
    </rPh>
    <rPh sb="24" eb="26">
      <t>ヨコハバ</t>
    </rPh>
    <rPh sb="32" eb="34">
      <t>タイオウ</t>
    </rPh>
    <phoneticPr fontId="25"/>
  </si>
  <si>
    <t>1.0m未満</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</si>
</sst>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76" formatCode="0.000_ "/>
    <numFmt numFmtId="177" formatCode="0.00_ "/>
    <numFmt numFmtId="178" formatCode="&quot;＝  &quot;0.00"/>
    <numFmt numFmtId="179" formatCode="&quot;１／&quot;0"/>
    <numFmt numFmtId="180" formatCode="0.0_ "/>
    <numFmt numFmtId="181" formatCode="0.000&quot;＋&quot;"/>
    <numFmt numFmtId="182" formatCode="0.00000"/>
    <numFmt numFmtId="183" formatCode="0.000000_ "/>
    <numFmt numFmtId="184" formatCode="0.0"/>
    <numFmt numFmtId="185" formatCode="&quot;[2×&quot;0.000&quot;]&quot;"/>
    <numFmt numFmtId="186" formatCode="\(0.000\)\];\(\-0.000\)\]"/>
    <numFmt numFmtId="187" formatCode="0.0&quot;(m2)&quot;"/>
    <numFmt numFmtId="188" formatCode="0.00&quot;m3&quot;"/>
    <numFmt numFmtId="189" formatCode="&quot;＝ &quot;0.00"/>
    <numFmt numFmtId="190" formatCode="0.0&quot;mm&quot;"/>
    <numFmt numFmtId="191" formatCode="0.00&quot; m/h&quot;"/>
    <numFmt numFmtId="192" formatCode="0.00000_ "/>
    <numFmt numFmtId="193" formatCode="0.00;;"/>
    <numFmt numFmtId="194" formatCode="0.00_);[Red]\(0.00\)"/>
    <numFmt numFmtId="195" formatCode="0.000"/>
    <numFmt numFmtId="196" formatCode="0.0;;"/>
    <numFmt numFmtId="197" formatCode="0_ "/>
    <numFmt numFmtId="198" formatCode="&quot;－ &quot;0.00_ "/>
    <numFmt numFmtId="199" formatCode="0.00000&quot;(ha)&quot;"/>
    <numFmt numFmtId="200" formatCode="0.0000"/>
    <numFmt numFmtId="201" formatCode="0.00000&quot;m3/s&quot;"/>
    <numFmt numFmtId="202" formatCode="0.00&quot;m&quot;"/>
    <numFmt numFmtId="203" formatCode="0.000_);[Red]\(0.000\)"/>
  </numFmts>
  <fonts count="32">
    <font>
      <sz val="11"/>
      <color theme="1"/>
      <name val="ＭＳ Ｐゴシック"/>
      <charset val="134"/>
      <scheme val="minor"/>
    </font>
    <font>
      <sz val="11"/>
      <name val="ＭＳ 明朝"/>
      <family val="1"/>
      <charset val="128"/>
    </font>
    <font>
      <sz val="11"/>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11"/>
      <color theme="1"/>
      <name val="ＭＳ 明朝"/>
      <family val="1"/>
      <charset val="128"/>
    </font>
    <font>
      <sz val="8"/>
      <color theme="1"/>
      <name val="ＭＳ 明朝"/>
      <family val="1"/>
      <charset val="128"/>
    </font>
    <font>
      <sz val="10"/>
      <name val="ＭＳ 明朝"/>
      <family val="1"/>
      <charset val="128"/>
    </font>
    <font>
      <sz val="11"/>
      <color rgb="FFFF0000"/>
      <name val="ＭＳ 明朝"/>
      <family val="1"/>
      <charset val="128"/>
    </font>
    <font>
      <sz val="6"/>
      <name val="ＭＳ 明朝"/>
      <family val="1"/>
      <charset val="128"/>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sz val="9"/>
      <name val="ＭＳ 明朝"/>
      <family val="1"/>
      <charset val="128"/>
    </font>
    <font>
      <sz val="8"/>
      <name val="ＭＳ 明朝"/>
      <family val="1"/>
      <charset val="128"/>
    </font>
    <font>
      <sz val="10"/>
      <name val="ＴＢ明朝Ｍ"/>
      <charset val="128"/>
    </font>
    <font>
      <vertAlign val="superscript"/>
      <sz val="11"/>
      <name val="ＭＳ 明朝"/>
      <family val="1"/>
      <charset val="128"/>
    </font>
    <font>
      <u/>
      <sz val="11"/>
      <color rgb="FF0000FF"/>
      <name val="ＭＳ Ｐゴシック"/>
      <family val="3"/>
      <charset val="128"/>
      <scheme val="minor"/>
    </font>
    <font>
      <vertAlign val="subscript"/>
      <sz val="11"/>
      <name val="ＭＳ 明朝"/>
      <family val="1"/>
      <charset val="128"/>
    </font>
    <font>
      <vertAlign val="subscript"/>
      <sz val="11"/>
      <color theme="1"/>
      <name val="ＭＳ 明朝"/>
      <family val="1"/>
      <charset val="128"/>
    </font>
    <font>
      <vertAlign val="subscript"/>
      <sz val="10"/>
      <name val="ＭＳ 明朝"/>
      <family val="1"/>
      <charset val="128"/>
    </font>
    <font>
      <sz val="11"/>
      <color theme="1"/>
      <name val="ＭＳ 明朝"/>
      <family val="1"/>
      <charset val="128"/>
    </font>
    <font>
      <b/>
      <sz val="9"/>
      <name val="MS P ゴシック"/>
      <charset val="128"/>
    </font>
    <font>
      <sz val="6"/>
      <name val="ＭＳ Ｐゴシック"/>
      <family val="3"/>
      <charset val="128"/>
      <scheme val="minor"/>
    </font>
    <font>
      <b/>
      <sz val="12"/>
      <name val="ＭＳ 明朝"/>
      <family val="1"/>
      <charset val="128"/>
    </font>
    <font>
      <b/>
      <sz val="11"/>
      <name val="ＭＳ 明朝"/>
      <family val="1"/>
      <charset val="128"/>
    </font>
    <font>
      <b/>
      <sz val="11"/>
      <color rgb="FFFF0000"/>
      <name val="ＭＳ 明朝"/>
      <family val="1"/>
      <charset val="128"/>
    </font>
    <font>
      <sz val="11"/>
      <color theme="1"/>
      <name val="ＭＳ Ｐゴシック"/>
      <family val="3"/>
      <charset val="128"/>
      <scheme val="minor"/>
    </font>
    <font>
      <sz val="11"/>
      <color rgb="FF000000"/>
      <name val="ＭＳ Ｐゴシック"/>
      <family val="3"/>
      <charset val="128"/>
    </font>
    <font>
      <sz val="12"/>
      <color rgb="FFFF0000"/>
      <name val="ＭＳ 明朝"/>
      <family val="1"/>
      <charset val="128"/>
    </font>
  </fonts>
  <fills count="10">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FF"/>
        <bgColor indexed="64"/>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top style="medium">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97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Border="1">
      <alignment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1" fillId="0" borderId="3" xfId="0" applyFont="1" applyFill="1" applyBorder="1" applyAlignment="1">
      <alignment vertical="center"/>
    </xf>
    <xf numFmtId="2" fontId="1" fillId="0" borderId="10" xfId="0" applyNumberFormat="1" applyFont="1" applyFill="1" applyBorder="1" applyAlignment="1">
      <alignment vertical="center"/>
    </xf>
    <xf numFmtId="0" fontId="1" fillId="0" borderId="4" xfId="0" applyFont="1" applyFill="1" applyBorder="1" applyAlignment="1">
      <alignment vertical="center"/>
    </xf>
    <xf numFmtId="0" fontId="1" fillId="0" borderId="0" xfId="0" applyFont="1" applyFill="1" applyBorder="1" applyAlignment="1">
      <alignment vertical="center"/>
    </xf>
    <xf numFmtId="0" fontId="2" fillId="0" borderId="5" xfId="0" applyFont="1" applyBorder="1">
      <alignment vertical="center"/>
    </xf>
    <xf numFmtId="0" fontId="2" fillId="0" borderId="3" xfId="0" applyFont="1" applyBorder="1">
      <alignment vertical="center"/>
    </xf>
    <xf numFmtId="180" fontId="2" fillId="0" borderId="4" xfId="0" applyNumberFormat="1" applyFont="1" applyBorder="1">
      <alignment vertical="center"/>
    </xf>
    <xf numFmtId="177" fontId="2" fillId="0" borderId="10" xfId="0" applyNumberFormat="1" applyFont="1" applyBorder="1">
      <alignment vertical="center"/>
    </xf>
    <xf numFmtId="180" fontId="2" fillId="0" borderId="6" xfId="0" applyNumberFormat="1" applyFont="1" applyBorder="1">
      <alignment vertical="center"/>
    </xf>
    <xf numFmtId="177" fontId="2" fillId="0" borderId="11" xfId="0" applyNumberFormat="1" applyFont="1" applyBorder="1">
      <alignment vertical="center"/>
    </xf>
    <xf numFmtId="0" fontId="1" fillId="0" borderId="0" xfId="0" applyFont="1" applyFill="1" applyAlignment="1">
      <alignment vertical="center"/>
    </xf>
    <xf numFmtId="0" fontId="2" fillId="0" borderId="4" xfId="0" applyFont="1" applyBorder="1">
      <alignment vertical="center"/>
    </xf>
    <xf numFmtId="0" fontId="2" fillId="4" borderId="2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0" borderId="20" xfId="0" applyFont="1" applyFill="1" applyBorder="1" applyAlignment="1">
      <alignment horizontal="center" vertical="center" wrapText="1"/>
    </xf>
    <xf numFmtId="195" fontId="1" fillId="0" borderId="4" xfId="0" applyNumberFormat="1" applyFont="1" applyFill="1" applyBorder="1" applyAlignment="1">
      <alignment horizontal="center" vertical="center"/>
    </xf>
    <xf numFmtId="195" fontId="1" fillId="0" borderId="20" xfId="0" applyNumberFormat="1" applyFont="1" applyFill="1" applyBorder="1" applyAlignment="1">
      <alignment horizontal="center" vertical="center"/>
    </xf>
    <xf numFmtId="0" fontId="1" fillId="0" borderId="0" xfId="0" applyFont="1" applyFill="1" applyAlignment="1">
      <alignment horizontal="center" vertical="center"/>
    </xf>
    <xf numFmtId="0" fontId="6" fillId="4" borderId="0" xfId="0" applyFont="1" applyFill="1" applyProtection="1">
      <alignment vertical="center"/>
      <protection hidden="1"/>
    </xf>
    <xf numFmtId="0" fontId="1" fillId="4" borderId="0" xfId="0" applyFont="1" applyFill="1" applyAlignment="1" applyProtection="1">
      <alignment horizontal="center" vertical="center"/>
      <protection hidden="1"/>
    </xf>
    <xf numFmtId="0" fontId="1" fillId="4" borderId="0" xfId="0" applyFont="1" applyFill="1" applyBorder="1" applyAlignment="1" applyProtection="1">
      <alignment horizontal="center" vertical="center"/>
      <protection hidden="1"/>
    </xf>
    <xf numFmtId="0" fontId="1" fillId="4" borderId="0" xfId="0" applyFont="1" applyFill="1" applyBorder="1" applyAlignment="1" applyProtection="1">
      <protection hidden="1"/>
    </xf>
    <xf numFmtId="0" fontId="1" fillId="4" borderId="0" xfId="0" applyFont="1" applyFill="1" applyBorder="1" applyAlignment="1" applyProtection="1">
      <alignment vertical="center"/>
      <protection hidden="1"/>
    </xf>
    <xf numFmtId="2" fontId="1" fillId="4" borderId="0" xfId="0" applyNumberFormat="1" applyFont="1" applyFill="1" applyAlignment="1" applyProtection="1">
      <alignment vertical="center"/>
      <protection hidden="1"/>
    </xf>
    <xf numFmtId="0" fontId="1" fillId="4" borderId="0" xfId="0" applyNumberFormat="1" applyFont="1" applyFill="1" applyBorder="1" applyAlignment="1" applyProtection="1">
      <alignment horizontal="center" vertical="center"/>
      <protection hidden="1"/>
    </xf>
    <xf numFmtId="0" fontId="1" fillId="4" borderId="7" xfId="0" applyFont="1" applyFill="1" applyBorder="1" applyAlignment="1" applyProtection="1">
      <alignment horizontal="center" vertical="center"/>
      <protection hidden="1"/>
    </xf>
    <xf numFmtId="0" fontId="1" fillId="4" borderId="0" xfId="0" applyFont="1" applyFill="1" applyBorder="1" applyAlignment="1" applyProtection="1">
      <alignment horizontal="center"/>
      <protection hidden="1"/>
    </xf>
    <xf numFmtId="0" fontId="1" fillId="4" borderId="0" xfId="0" applyFont="1" applyFill="1" applyBorder="1" applyAlignment="1" applyProtection="1">
      <alignment horizontal="right"/>
      <protection hidden="1"/>
    </xf>
    <xf numFmtId="0" fontId="1" fillId="4" borderId="0" xfId="0" applyNumberFormat="1" applyFont="1" applyFill="1" applyAlignment="1" applyProtection="1">
      <alignment horizontal="right"/>
      <protection hidden="1"/>
    </xf>
    <xf numFmtId="0" fontId="1" fillId="4" borderId="0" xfId="0" applyNumberFormat="1" applyFont="1" applyFill="1" applyBorder="1" applyAlignment="1" applyProtection="1">
      <protection hidden="1"/>
    </xf>
    <xf numFmtId="0" fontId="1" fillId="4" borderId="0" xfId="0" applyNumberFormat="1" applyFont="1" applyFill="1" applyBorder="1" applyAlignment="1" applyProtection="1">
      <alignment horizontal="right"/>
      <protection hidden="1"/>
    </xf>
    <xf numFmtId="0" fontId="1" fillId="4" borderId="0" xfId="0" applyFont="1" applyFill="1" applyBorder="1" applyAlignment="1" applyProtection="1">
      <alignment vertical="center" wrapText="1"/>
      <protection hidden="1"/>
    </xf>
    <xf numFmtId="0" fontId="1" fillId="4" borderId="0" xfId="0" applyNumberFormat="1" applyFont="1" applyFill="1" applyBorder="1" applyAlignment="1" applyProtection="1">
      <alignment vertical="center"/>
      <protection hidden="1"/>
    </xf>
    <xf numFmtId="2" fontId="1" fillId="4" borderId="0" xfId="0" applyNumberFormat="1" applyFont="1" applyFill="1" applyBorder="1" applyAlignment="1" applyProtection="1">
      <protection hidden="1"/>
    </xf>
    <xf numFmtId="0" fontId="11" fillId="4" borderId="0" xfId="0" applyFont="1" applyFill="1" applyProtection="1">
      <alignment vertical="center"/>
      <protection hidden="1"/>
    </xf>
    <xf numFmtId="0" fontId="12" fillId="4" borderId="0" xfId="0" applyFont="1" applyFill="1" applyBorder="1" applyAlignment="1" applyProtection="1">
      <protection hidden="1"/>
    </xf>
    <xf numFmtId="0" fontId="1" fillId="4" borderId="0" xfId="0" applyNumberFormat="1" applyFont="1" applyFill="1" applyAlignment="1" applyProtection="1">
      <alignment horizontal="center" vertical="center"/>
      <protection hidden="1"/>
    </xf>
    <xf numFmtId="0" fontId="1" fillId="4" borderId="0" xfId="0" applyNumberFormat="1" applyFont="1" applyFill="1" applyBorder="1" applyAlignment="1" applyProtection="1">
      <alignment horizontal="left" indent="2"/>
      <protection hidden="1"/>
    </xf>
    <xf numFmtId="0" fontId="1" fillId="4" borderId="0" xfId="0" applyNumberFormat="1" applyFont="1" applyFill="1" applyBorder="1" applyAlignment="1" applyProtection="1">
      <alignment horizontal="left"/>
      <protection hidden="1"/>
    </xf>
    <xf numFmtId="0" fontId="1" fillId="4" borderId="0" xfId="0" applyNumberFormat="1" applyFont="1" applyFill="1" applyBorder="1" applyAlignment="1" applyProtection="1">
      <alignment horizontal="center"/>
      <protection hidden="1"/>
    </xf>
    <xf numFmtId="0" fontId="1" fillId="4" borderId="0" xfId="0" applyFont="1" applyFill="1" applyBorder="1" applyAlignment="1" applyProtection="1">
      <alignment horizontal="left" indent="2"/>
      <protection hidden="1"/>
    </xf>
    <xf numFmtId="0" fontId="1" fillId="4" borderId="0" xfId="0" applyFont="1" applyFill="1" applyBorder="1" applyAlignment="1" applyProtection="1">
      <alignment horizontal="left"/>
      <protection hidden="1"/>
    </xf>
    <xf numFmtId="0" fontId="1" fillId="4" borderId="0" xfId="0" applyFont="1" applyFill="1" applyAlignment="1" applyProtection="1">
      <protection hidden="1"/>
    </xf>
    <xf numFmtId="0" fontId="1" fillId="4" borderId="0" xfId="0" applyFont="1" applyFill="1" applyBorder="1" applyAlignment="1" applyProtection="1">
      <alignment horizontal="distributed"/>
      <protection hidden="1"/>
    </xf>
    <xf numFmtId="200" fontId="1" fillId="4" borderId="18" xfId="0" applyNumberFormat="1" applyFont="1" applyFill="1" applyBorder="1" applyAlignment="1" applyProtection="1">
      <protection hidden="1"/>
    </xf>
    <xf numFmtId="179" fontId="1" fillId="4" borderId="0" xfId="0" applyNumberFormat="1" applyFont="1" applyFill="1" applyAlignment="1" applyProtection="1">
      <protection hidden="1"/>
    </xf>
    <xf numFmtId="179" fontId="1" fillId="4" borderId="0" xfId="0" applyNumberFormat="1" applyFont="1" applyFill="1" applyBorder="1" applyAlignment="1" applyProtection="1">
      <alignment horizontal="center"/>
      <protection hidden="1"/>
    </xf>
    <xf numFmtId="0" fontId="1" fillId="4" borderId="0" xfId="0" applyFont="1" applyFill="1" applyAlignment="1" applyProtection="1">
      <alignment vertical="center"/>
      <protection hidden="1"/>
    </xf>
    <xf numFmtId="200" fontId="1" fillId="4" borderId="0" xfId="0" applyNumberFormat="1" applyFont="1" applyFill="1" applyBorder="1" applyAlignment="1" applyProtection="1">
      <alignment horizontal="center"/>
      <protection hidden="1"/>
    </xf>
    <xf numFmtId="200" fontId="1" fillId="4" borderId="0" xfId="0" applyNumberFormat="1" applyFont="1" applyFill="1" applyBorder="1" applyAlignment="1" applyProtection="1">
      <protection hidden="1"/>
    </xf>
    <xf numFmtId="195" fontId="1" fillId="4" borderId="0" xfId="0" applyNumberFormat="1" applyFont="1" applyFill="1" applyBorder="1" applyAlignment="1" applyProtection="1">
      <alignment horizontal="center"/>
      <protection hidden="1"/>
    </xf>
    <xf numFmtId="195" fontId="1" fillId="4" borderId="0" xfId="0" applyNumberFormat="1" applyFont="1" applyFill="1" applyBorder="1" applyAlignment="1" applyProtection="1">
      <alignment vertical="center"/>
      <protection hidden="1"/>
    </xf>
    <xf numFmtId="184" fontId="1" fillId="4" borderId="0" xfId="0" applyNumberFormat="1" applyFont="1" applyFill="1" applyBorder="1" applyAlignment="1" applyProtection="1">
      <protection hidden="1"/>
    </xf>
    <xf numFmtId="195" fontId="1" fillId="4" borderId="0" xfId="0" applyNumberFormat="1" applyFont="1" applyFill="1" applyBorder="1" applyAlignment="1" applyProtection="1">
      <protection hidden="1"/>
    </xf>
    <xf numFmtId="0" fontId="1" fillId="4" borderId="0" xfId="0" applyFont="1" applyFill="1" applyAlignment="1" applyProtection="1">
      <alignment horizontal="center"/>
      <protection hidden="1"/>
    </xf>
    <xf numFmtId="0" fontId="1" fillId="4" borderId="7" xfId="0" applyFont="1" applyFill="1" applyBorder="1" applyAlignment="1" applyProtection="1">
      <alignment horizontal="center"/>
      <protection hidden="1"/>
    </xf>
    <xf numFmtId="0" fontId="1" fillId="4" borderId="0" xfId="0" applyNumberFormat="1" applyFont="1" applyFill="1" applyAlignment="1" applyProtection="1">
      <alignment vertical="center"/>
      <protection hidden="1"/>
    </xf>
    <xf numFmtId="0" fontId="1" fillId="4" borderId="0" xfId="0" applyFont="1" applyFill="1" applyAlignment="1" applyProtection="1">
      <alignment vertical="top"/>
      <protection hidden="1"/>
    </xf>
    <xf numFmtId="0" fontId="1" fillId="4" borderId="0" xfId="0" applyFont="1" applyFill="1" applyBorder="1" applyAlignment="1" applyProtection="1">
      <alignment horizontal="center" vertical="top"/>
      <protection hidden="1"/>
    </xf>
    <xf numFmtId="0" fontId="1" fillId="4" borderId="0" xfId="0" applyNumberFormat="1" applyFont="1" applyFill="1" applyBorder="1" applyAlignment="1" applyProtection="1">
      <alignment horizontal="right" vertical="center"/>
      <protection hidden="1"/>
    </xf>
    <xf numFmtId="0" fontId="1" fillId="4" borderId="0" xfId="0" applyFont="1" applyFill="1" applyBorder="1" applyAlignment="1" applyProtection="1">
      <alignment vertical="top"/>
      <protection hidden="1"/>
    </xf>
    <xf numFmtId="0" fontId="1" fillId="4" borderId="7" xfId="0" applyFont="1" applyFill="1" applyBorder="1" applyAlignment="1" applyProtection="1">
      <protection hidden="1"/>
    </xf>
    <xf numFmtId="2" fontId="1" fillId="4" borderId="0" xfId="0" applyNumberFormat="1" applyFont="1" applyFill="1" applyAlignment="1" applyProtection="1">
      <alignment horizontal="center"/>
      <protection hidden="1"/>
    </xf>
    <xf numFmtId="186" fontId="1" fillId="4" borderId="0" xfId="0" applyNumberFormat="1" applyFont="1" applyFill="1" applyBorder="1" applyAlignment="1" applyProtection="1">
      <alignment horizontal="centerContinuous" vertical="center"/>
      <protection hidden="1"/>
    </xf>
    <xf numFmtId="186" fontId="1" fillId="4" borderId="0" xfId="0" applyNumberFormat="1" applyFont="1" applyFill="1" applyBorder="1" applyAlignment="1" applyProtection="1">
      <protection hidden="1"/>
    </xf>
    <xf numFmtId="0" fontId="1" fillId="4" borderId="0" xfId="0" applyFont="1" applyFill="1" applyBorder="1" applyAlignment="1" applyProtection="1">
      <alignment horizontal="right" vertical="center"/>
      <protection hidden="1"/>
    </xf>
    <xf numFmtId="0" fontId="1" fillId="4" borderId="0" xfId="0" applyFont="1" applyFill="1" applyBorder="1" applyAlignment="1" applyProtection="1">
      <alignment horizontal="left" vertical="top"/>
      <protection hidden="1"/>
    </xf>
    <xf numFmtId="184" fontId="1" fillId="4" borderId="7" xfId="0" applyNumberFormat="1" applyFont="1" applyFill="1" applyBorder="1" applyAlignment="1" applyProtection="1">
      <alignment horizontal="center"/>
      <protection hidden="1"/>
    </xf>
    <xf numFmtId="0" fontId="1" fillId="4" borderId="0" xfId="0" applyFont="1" applyFill="1" applyBorder="1" applyAlignment="1" applyProtection="1">
      <alignment horizontal="left" vertical="center"/>
      <protection hidden="1"/>
    </xf>
    <xf numFmtId="0" fontId="1" fillId="4" borderId="0" xfId="0" applyFont="1" applyFill="1" applyBorder="1" applyAlignment="1" applyProtection="1">
      <alignment horizontal="distributed" vertical="top"/>
      <protection hidden="1"/>
    </xf>
    <xf numFmtId="0" fontId="12" fillId="4" borderId="0" xfId="0" applyFont="1" applyFill="1" applyAlignment="1" applyProtection="1">
      <protection hidden="1"/>
    </xf>
    <xf numFmtId="0" fontId="11" fillId="4" borderId="0" xfId="0" applyFont="1" applyFill="1" applyAlignment="1" applyProtection="1">
      <alignment vertical="center"/>
      <protection hidden="1"/>
    </xf>
    <xf numFmtId="4" fontId="1" fillId="4" borderId="0" xfId="0" applyNumberFormat="1" applyFont="1" applyFill="1" applyAlignment="1" applyProtection="1">
      <alignment horizontal="distributed"/>
      <protection hidden="1"/>
    </xf>
    <xf numFmtId="0" fontId="17" fillId="4" borderId="0" xfId="0" applyFont="1" applyFill="1" applyBorder="1" applyAlignment="1" applyProtection="1">
      <protection hidden="1"/>
    </xf>
    <xf numFmtId="0" fontId="1" fillId="4" borderId="0" xfId="0" applyFont="1" applyFill="1" applyProtection="1">
      <alignment vertical="center"/>
      <protection hidden="1"/>
    </xf>
    <xf numFmtId="177" fontId="1" fillId="4" borderId="0" xfId="0" applyNumberFormat="1" applyFont="1" applyFill="1" applyAlignment="1" applyProtection="1">
      <alignment horizontal="left" vertical="center"/>
      <protection hidden="1"/>
    </xf>
    <xf numFmtId="0" fontId="1" fillId="4" borderId="7" xfId="0" applyFont="1" applyFill="1" applyBorder="1" applyAlignment="1" applyProtection="1">
      <alignment vertical="center"/>
      <protection hidden="1"/>
    </xf>
    <xf numFmtId="0" fontId="18" fillId="4" borderId="0" xfId="0" applyFont="1" applyFill="1" applyBorder="1" applyAlignment="1" applyProtection="1">
      <alignment horizontal="left"/>
      <protection hidden="1"/>
    </xf>
    <xf numFmtId="1" fontId="16" fillId="4" borderId="7" xfId="0" applyNumberFormat="1" applyFont="1" applyFill="1" applyBorder="1" applyAlignment="1" applyProtection="1">
      <alignment horizontal="left" vertical="top"/>
      <protection hidden="1"/>
    </xf>
    <xf numFmtId="184" fontId="1" fillId="4" borderId="7" xfId="0" applyNumberFormat="1" applyFont="1" applyFill="1" applyBorder="1" applyAlignment="1" applyProtection="1">
      <alignment horizontal="distributed"/>
      <protection hidden="1"/>
    </xf>
    <xf numFmtId="181" fontId="1" fillId="4" borderId="0" xfId="0" applyNumberFormat="1" applyFont="1" applyFill="1" applyBorder="1" applyAlignment="1" applyProtection="1">
      <alignment horizontal="right" vertical="top"/>
      <protection hidden="1"/>
    </xf>
    <xf numFmtId="195" fontId="1" fillId="4" borderId="0" xfId="0" applyNumberFormat="1" applyFont="1" applyFill="1" applyBorder="1" applyAlignment="1" applyProtection="1">
      <alignment horizontal="left" vertical="top"/>
      <protection hidden="1"/>
    </xf>
    <xf numFmtId="0" fontId="11" fillId="0" borderId="0" xfId="0" applyFont="1" applyProtection="1">
      <alignment vertical="center"/>
      <protection hidden="1"/>
    </xf>
    <xf numFmtId="3" fontId="1" fillId="4" borderId="0" xfId="0" applyNumberFormat="1" applyFont="1" applyFill="1" applyBorder="1" applyAlignment="1" applyProtection="1">
      <alignment horizontal="distributed"/>
      <protection hidden="1"/>
    </xf>
    <xf numFmtId="177" fontId="1" fillId="4" borderId="0" xfId="0" applyNumberFormat="1" applyFont="1" applyFill="1" applyBorder="1" applyAlignment="1" applyProtection="1">
      <alignment horizontal="center"/>
      <protection hidden="1"/>
    </xf>
    <xf numFmtId="2" fontId="10" fillId="4" borderId="0" xfId="0" applyNumberFormat="1" applyFont="1" applyFill="1" applyAlignment="1" applyProtection="1">
      <alignment horizontal="left" vertical="top"/>
      <protection hidden="1"/>
    </xf>
    <xf numFmtId="0" fontId="1" fillId="4" borderId="18" xfId="0" applyFont="1" applyFill="1" applyBorder="1" applyAlignment="1" applyProtection="1">
      <protection hidden="1"/>
    </xf>
    <xf numFmtId="0" fontId="1" fillId="4" borderId="12" xfId="0" applyFont="1" applyFill="1" applyBorder="1" applyAlignment="1" applyProtection="1">
      <protection hidden="1"/>
    </xf>
    <xf numFmtId="0" fontId="1" fillId="4" borderId="21" xfId="0" applyFont="1" applyFill="1" applyBorder="1" applyAlignment="1" applyProtection="1">
      <protection hidden="1"/>
    </xf>
    <xf numFmtId="0" fontId="1" fillId="4" borderId="15" xfId="0" applyFont="1" applyFill="1" applyBorder="1" applyAlignment="1" applyProtection="1">
      <protection hidden="1"/>
    </xf>
    <xf numFmtId="0" fontId="1" fillId="4" borderId="8" xfId="0" applyFont="1" applyFill="1" applyBorder="1" applyAlignment="1" applyProtection="1">
      <protection hidden="1"/>
    </xf>
    <xf numFmtId="0" fontId="1" fillId="4" borderId="14" xfId="0" applyFont="1" applyFill="1" applyBorder="1" applyAlignment="1" applyProtection="1">
      <protection hidden="1"/>
    </xf>
    <xf numFmtId="0" fontId="1" fillId="4" borderId="17" xfId="0" applyFont="1" applyFill="1" applyBorder="1" applyAlignment="1" applyProtection="1">
      <protection hidden="1"/>
    </xf>
    <xf numFmtId="0" fontId="1" fillId="4" borderId="16" xfId="0" applyFont="1" applyFill="1" applyBorder="1" applyAlignment="1" applyProtection="1">
      <protection hidden="1"/>
    </xf>
    <xf numFmtId="0" fontId="1" fillId="4" borderId="19" xfId="0" applyFont="1" applyFill="1" applyBorder="1" applyAlignment="1" applyProtection="1">
      <protection hidden="1"/>
    </xf>
    <xf numFmtId="0" fontId="1" fillId="4" borderId="20" xfId="0" applyFont="1" applyFill="1" applyBorder="1" applyAlignment="1" applyProtection="1">
      <protection hidden="1"/>
    </xf>
    <xf numFmtId="0" fontId="1" fillId="0" borderId="0" xfId="0" applyFont="1" applyFill="1" applyBorder="1" applyAlignment="1"/>
    <xf numFmtId="0" fontId="1" fillId="0" borderId="0" xfId="0" applyFont="1" applyFill="1" applyBorder="1" applyAlignment="1">
      <alignment horizontal="right"/>
    </xf>
    <xf numFmtId="0" fontId="1" fillId="0" borderId="0" xfId="0" applyFont="1" applyFill="1" applyAlignment="1">
      <alignment horizontal="left" vertical="center"/>
    </xf>
    <xf numFmtId="0" fontId="1" fillId="0" borderId="0" xfId="0" applyNumberFormat="1" applyFont="1" applyFill="1" applyBorder="1" applyAlignment="1">
      <alignment horizontal="right"/>
    </xf>
    <xf numFmtId="0" fontId="1" fillId="0" borderId="0" xfId="0" applyNumberFormat="1" applyFont="1" applyFill="1" applyAlignment="1"/>
    <xf numFmtId="0" fontId="1" fillId="0" borderId="0" xfId="0" applyFont="1" applyFill="1" applyAlignment="1"/>
    <xf numFmtId="0" fontId="1" fillId="0" borderId="20" xfId="0" applyFont="1" applyFill="1" applyBorder="1" applyAlignment="1">
      <alignment horizontal="center" vertical="center"/>
    </xf>
    <xf numFmtId="0" fontId="1" fillId="0" borderId="0" xfId="0" applyFont="1" applyFill="1" applyBorder="1" applyAlignment="1">
      <alignment horizontal="right" vertical="center"/>
    </xf>
    <xf numFmtId="184" fontId="1" fillId="0" borderId="0" xfId="0" applyNumberFormat="1" applyFont="1" applyFill="1" applyAlignment="1">
      <alignment horizontal="center" vertical="center"/>
    </xf>
    <xf numFmtId="0" fontId="1" fillId="0" borderId="0" xfId="0" applyFont="1" applyFill="1" applyBorder="1" applyAlignment="1">
      <alignment horizontal="left" vertical="center"/>
    </xf>
    <xf numFmtId="0" fontId="13" fillId="4" borderId="0" xfId="0" applyFont="1" applyFill="1" applyBorder="1" applyAlignment="1" applyProtection="1">
      <protection hidden="1"/>
    </xf>
    <xf numFmtId="0" fontId="13" fillId="4" borderId="0" xfId="0" applyNumberFormat="1" applyFont="1" applyFill="1" applyBorder="1" applyAlignment="1" applyProtection="1">
      <protection hidden="1"/>
    </xf>
    <xf numFmtId="200" fontId="1" fillId="4" borderId="0" xfId="0" applyNumberFormat="1" applyFont="1" applyFill="1" applyAlignment="1" applyProtection="1">
      <alignment vertical="center"/>
      <protection hidden="1"/>
    </xf>
    <xf numFmtId="182" fontId="1" fillId="4" borderId="0" xfId="0" applyNumberFormat="1" applyFont="1" applyFill="1" applyAlignment="1" applyProtection="1">
      <alignment vertical="center"/>
      <protection hidden="1"/>
    </xf>
    <xf numFmtId="0" fontId="12" fillId="4" borderId="0" xfId="0" applyFont="1" applyFill="1" applyBorder="1" applyAlignment="1" applyProtection="1">
      <alignment horizontal="center"/>
      <protection hidden="1"/>
    </xf>
    <xf numFmtId="178" fontId="1" fillId="4" borderId="0" xfId="0" applyNumberFormat="1" applyFont="1" applyFill="1" applyAlignment="1" applyProtection="1">
      <protection hidden="1"/>
    </xf>
    <xf numFmtId="197" fontId="1" fillId="4" borderId="0" xfId="0" applyNumberFormat="1" applyFont="1" applyFill="1" applyBorder="1" applyAlignment="1" applyProtection="1">
      <alignment horizontal="center"/>
      <protection hidden="1"/>
    </xf>
    <xf numFmtId="0" fontId="2" fillId="4" borderId="0" xfId="0" applyFont="1" applyFill="1" applyProtection="1">
      <alignment vertical="center"/>
      <protection hidden="1"/>
    </xf>
    <xf numFmtId="0" fontId="19" fillId="4" borderId="0" xfId="1" applyFill="1" applyProtection="1">
      <alignment vertical="center"/>
      <protection hidden="1"/>
    </xf>
    <xf numFmtId="0" fontId="1" fillId="4" borderId="0" xfId="0" quotePrefix="1" applyNumberFormat="1" applyFont="1" applyFill="1" applyBorder="1" applyAlignment="1" applyProtection="1">
      <alignment horizontal="center"/>
      <protection hidden="1"/>
    </xf>
    <xf numFmtId="0" fontId="23" fillId="4" borderId="0" xfId="0" applyFont="1" applyFill="1" applyProtection="1">
      <alignment vertical="center"/>
      <protection hidden="1"/>
    </xf>
    <xf numFmtId="0" fontId="2" fillId="4" borderId="0" xfId="0" applyFont="1" applyFill="1" applyProtection="1">
      <alignment vertical="center"/>
      <protection hidden="1"/>
    </xf>
    <xf numFmtId="0" fontId="2" fillId="4" borderId="0" xfId="0" applyFont="1" applyFill="1" applyProtection="1">
      <alignment vertical="center"/>
      <protection hidden="1"/>
    </xf>
    <xf numFmtId="0" fontId="2" fillId="4" borderId="0" xfId="0" applyFont="1" applyFill="1" applyProtection="1">
      <alignment vertical="center"/>
      <protection hidden="1"/>
    </xf>
    <xf numFmtId="0" fontId="2" fillId="3" borderId="18" xfId="0" applyFont="1" applyFill="1" applyBorder="1" applyProtection="1">
      <alignment vertical="center"/>
      <protection hidden="1"/>
    </xf>
    <xf numFmtId="0" fontId="2" fillId="3" borderId="21" xfId="0" applyFont="1" applyFill="1" applyBorder="1" applyProtection="1">
      <alignment vertical="center"/>
      <protection hidden="1"/>
    </xf>
    <xf numFmtId="0" fontId="2" fillId="2" borderId="18" xfId="0" applyFont="1" applyFill="1" applyBorder="1" applyProtection="1">
      <alignment vertical="center"/>
      <protection hidden="1"/>
    </xf>
    <xf numFmtId="0" fontId="2" fillId="2" borderId="21" xfId="0" applyFont="1" applyFill="1" applyBorder="1" applyProtection="1">
      <alignment vertical="center"/>
      <protection hidden="1"/>
    </xf>
    <xf numFmtId="0" fontId="26" fillId="4" borderId="0" xfId="0" applyNumberFormat="1" applyFont="1" applyFill="1" applyBorder="1" applyAlignment="1" applyProtection="1">
      <protection hidden="1"/>
    </xf>
    <xf numFmtId="0" fontId="27" fillId="4" borderId="0" xfId="0" applyNumberFormat="1" applyFont="1" applyFill="1" applyBorder="1" applyAlignment="1" applyProtection="1">
      <protection hidden="1"/>
    </xf>
    <xf numFmtId="0" fontId="1" fillId="4" borderId="12" xfId="0" applyFont="1" applyFill="1" applyBorder="1" applyAlignment="1">
      <alignment vertical="center"/>
    </xf>
    <xf numFmtId="0" fontId="1" fillId="4" borderId="0" xfId="0" applyFont="1" applyFill="1" applyBorder="1" applyAlignment="1">
      <alignment vertical="center"/>
    </xf>
    <xf numFmtId="182" fontId="1" fillId="4" borderId="0" xfId="0" applyNumberFormat="1" applyFont="1" applyFill="1" applyBorder="1" applyAlignment="1">
      <alignment vertical="center"/>
    </xf>
    <xf numFmtId="0" fontId="1" fillId="4" borderId="0" xfId="0" applyNumberFormat="1" applyFont="1" applyFill="1" applyBorder="1" applyAlignment="1"/>
    <xf numFmtId="0" fontId="1" fillId="4" borderId="0" xfId="0" applyFont="1" applyFill="1" applyBorder="1" applyAlignment="1"/>
    <xf numFmtId="0" fontId="1" fillId="4" borderId="0" xfId="0" applyFont="1" applyFill="1" applyBorder="1" applyAlignment="1">
      <alignment horizontal="right"/>
    </xf>
    <xf numFmtId="0" fontId="6" fillId="4" borderId="24" xfId="0" applyFont="1" applyFill="1" applyBorder="1">
      <alignment vertical="center"/>
    </xf>
    <xf numFmtId="0" fontId="2" fillId="4" borderId="13" xfId="0" applyFont="1" applyFill="1" applyBorder="1">
      <alignment vertical="center"/>
    </xf>
    <xf numFmtId="0" fontId="2" fillId="4" borderId="29" xfId="0" applyFont="1" applyFill="1" applyBorder="1">
      <alignment vertical="center"/>
    </xf>
    <xf numFmtId="0" fontId="6" fillId="4" borderId="25" xfId="0" applyFont="1" applyFill="1" applyBorder="1">
      <alignment vertical="center"/>
    </xf>
    <xf numFmtId="0" fontId="2" fillId="2" borderId="0" xfId="0" applyFont="1" applyFill="1" applyBorder="1">
      <alignment vertical="center"/>
    </xf>
    <xf numFmtId="0" fontId="2" fillId="4" borderId="30" xfId="0" applyFont="1" applyFill="1" applyBorder="1">
      <alignment vertical="center"/>
    </xf>
    <xf numFmtId="0" fontId="2" fillId="4" borderId="25" xfId="0" applyFont="1" applyFill="1" applyBorder="1">
      <alignment vertical="center"/>
    </xf>
    <xf numFmtId="0" fontId="2" fillId="3" borderId="0" xfId="0" applyFont="1" applyFill="1" applyBorder="1">
      <alignment vertical="center"/>
    </xf>
    <xf numFmtId="0" fontId="9" fillId="4" borderId="0" xfId="0" applyFont="1" applyFill="1" applyBorder="1">
      <alignment vertical="center"/>
    </xf>
    <xf numFmtId="2" fontId="1" fillId="4" borderId="0" xfId="0" applyNumberFormat="1" applyFont="1" applyFill="1" applyBorder="1" applyAlignment="1">
      <alignment vertical="center"/>
    </xf>
    <xf numFmtId="0" fontId="2" fillId="4" borderId="0" xfId="0" applyFont="1" applyFill="1" applyBorder="1" applyAlignment="1">
      <alignment vertical="center"/>
    </xf>
    <xf numFmtId="0" fontId="3" fillId="4" borderId="0" xfId="0" applyFont="1" applyFill="1" applyBorder="1" applyAlignment="1">
      <alignment vertical="center"/>
    </xf>
    <xf numFmtId="0" fontId="3" fillId="4" borderId="0" xfId="0" applyFont="1" applyFill="1" applyBorder="1">
      <alignment vertical="center"/>
    </xf>
    <xf numFmtId="176" fontId="2" fillId="4" borderId="0" xfId="0" applyNumberFormat="1" applyFont="1" applyFill="1" applyBorder="1" applyAlignment="1">
      <alignment horizontal="center" vertical="center"/>
    </xf>
    <xf numFmtId="0" fontId="27" fillId="4" borderId="25" xfId="0" applyNumberFormat="1" applyFont="1" applyFill="1" applyBorder="1" applyAlignment="1"/>
    <xf numFmtId="0" fontId="27" fillId="4" borderId="25" xfId="0" applyFont="1" applyFill="1" applyBorder="1" applyAlignment="1">
      <alignment vertical="center"/>
    </xf>
    <xf numFmtId="0" fontId="1" fillId="4" borderId="25" xfId="0" applyFont="1" applyFill="1" applyBorder="1" applyAlignment="1">
      <alignment vertical="center"/>
    </xf>
    <xf numFmtId="0" fontId="1" fillId="4" borderId="26" xfId="0" applyFont="1" applyFill="1" applyBorder="1" applyAlignment="1">
      <alignment vertical="center"/>
    </xf>
    <xf numFmtId="0" fontId="1" fillId="4" borderId="27" xfId="0" applyFont="1" applyFill="1" applyBorder="1" applyAlignment="1">
      <alignment vertical="center"/>
    </xf>
    <xf numFmtId="0" fontId="2" fillId="4" borderId="27" xfId="0" applyFont="1" applyFill="1" applyBorder="1">
      <alignment vertical="center"/>
    </xf>
    <xf numFmtId="0" fontId="2" fillId="4" borderId="31" xfId="0" applyFont="1" applyFill="1" applyBorder="1">
      <alignment vertical="center"/>
    </xf>
    <xf numFmtId="0" fontId="2" fillId="4" borderId="0" xfId="0" applyFont="1" applyFill="1" applyBorder="1" applyAlignment="1">
      <alignment horizontal="center" vertical="center"/>
    </xf>
    <xf numFmtId="177" fontId="7" fillId="4" borderId="0" xfId="0" applyNumberFormat="1" applyFont="1" applyFill="1" applyBorder="1" applyAlignment="1">
      <alignment horizontal="center" vertical="top"/>
    </xf>
    <xf numFmtId="180" fontId="2" fillId="4" borderId="0" xfId="0" applyNumberFormat="1" applyFont="1" applyFill="1" applyBorder="1" applyAlignment="1">
      <alignment horizontal="center" vertical="center"/>
    </xf>
    <xf numFmtId="0" fontId="2" fillId="4" borderId="0" xfId="0" applyFont="1" applyFill="1" applyBorder="1">
      <alignment vertical="center"/>
    </xf>
    <xf numFmtId="0" fontId="1" fillId="4" borderId="0" xfId="0" applyNumberFormat="1" applyFont="1" applyFill="1" applyBorder="1" applyAlignment="1">
      <alignment horizontal="right"/>
    </xf>
    <xf numFmtId="0" fontId="2" fillId="4" borderId="0" xfId="0" applyFont="1" applyFill="1" applyBorder="1" applyAlignment="1">
      <alignment horizontal="left" vertical="center"/>
    </xf>
    <xf numFmtId="0" fontId="2" fillId="4" borderId="0" xfId="0" applyFont="1" applyFill="1" applyProtection="1">
      <alignment vertical="center"/>
      <protection hidden="1"/>
    </xf>
    <xf numFmtId="0" fontId="2" fillId="4" borderId="0" xfId="0" applyFont="1" applyFill="1" applyProtection="1">
      <alignment vertical="center"/>
      <protection hidden="1"/>
    </xf>
    <xf numFmtId="0" fontId="2" fillId="0" borderId="0" xfId="0" applyFont="1" applyFill="1">
      <alignment vertical="center"/>
    </xf>
    <xf numFmtId="0" fontId="1" fillId="0" borderId="0" xfId="0" applyFont="1" applyFill="1" applyBorder="1" applyAlignment="1">
      <alignment horizontal="center" vertical="center"/>
    </xf>
    <xf numFmtId="182" fontId="1" fillId="0" borderId="0" xfId="0" applyNumberFormat="1" applyFont="1" applyFill="1" applyBorder="1" applyAlignment="1">
      <alignment vertical="center"/>
    </xf>
    <xf numFmtId="184" fontId="1" fillId="0" borderId="0" xfId="0" applyNumberFormat="1" applyFont="1" applyFill="1" applyAlignment="1">
      <alignment vertical="center"/>
    </xf>
    <xf numFmtId="0" fontId="1" fillId="4" borderId="18" xfId="0" applyFont="1" applyFill="1" applyBorder="1" applyAlignment="1">
      <alignment vertical="center"/>
    </xf>
    <xf numFmtId="0" fontId="3" fillId="4" borderId="0" xfId="0" quotePrefix="1" applyFont="1" applyFill="1" applyBorder="1" applyAlignment="1">
      <alignment vertical="center"/>
    </xf>
    <xf numFmtId="0" fontId="2" fillId="0" borderId="0" xfId="0" quotePrefix="1" applyFont="1" applyAlignment="1">
      <alignment vertical="center"/>
    </xf>
    <xf numFmtId="180" fontId="2" fillId="4" borderId="30" xfId="0" applyNumberFormat="1" applyFont="1" applyFill="1" applyBorder="1" applyAlignment="1">
      <alignment horizontal="center" vertical="center"/>
    </xf>
    <xf numFmtId="0" fontId="1" fillId="4" borderId="30" xfId="0" applyFont="1" applyFill="1" applyBorder="1" applyAlignment="1">
      <alignment horizontal="center" vertical="center"/>
    </xf>
    <xf numFmtId="0" fontId="1" fillId="4" borderId="31" xfId="0" applyFont="1" applyFill="1" applyBorder="1" applyAlignment="1">
      <alignment vertical="center"/>
    </xf>
    <xf numFmtId="183" fontId="3" fillId="0" borderId="0" xfId="0" applyNumberFormat="1" applyFont="1" applyAlignment="1">
      <alignment horizontal="left" vertical="center" indent="1"/>
    </xf>
    <xf numFmtId="0" fontId="2" fillId="0" borderId="0" xfId="0" applyFont="1" applyAlignment="1">
      <alignment horizontal="left" vertical="center" indent="1"/>
    </xf>
    <xf numFmtId="0" fontId="2" fillId="0" borderId="0" xfId="0" applyNumberFormat="1" applyFont="1" applyAlignment="1">
      <alignment vertical="center"/>
    </xf>
    <xf numFmtId="0" fontId="2" fillId="4" borderId="0" xfId="0" applyFont="1" applyFill="1" applyBorder="1" applyAlignment="1">
      <alignment horizontal="center" vertical="center"/>
    </xf>
    <xf numFmtId="0" fontId="2" fillId="4" borderId="0" xfId="0" applyFont="1" applyFill="1" applyProtection="1">
      <alignment vertical="center"/>
      <protection hidden="1"/>
    </xf>
    <xf numFmtId="0" fontId="2" fillId="0" borderId="0" xfId="0" applyFont="1" applyAlignment="1">
      <alignment horizontal="left" vertical="center"/>
    </xf>
    <xf numFmtId="0" fontId="1" fillId="4" borderId="0" xfId="0" applyFont="1" applyFill="1" applyBorder="1">
      <alignment vertical="center"/>
    </xf>
    <xf numFmtId="0" fontId="1" fillId="4" borderId="0" xfId="0" applyFont="1" applyFill="1" applyBorder="1" applyAlignment="1" applyProtection="1"/>
    <xf numFmtId="0" fontId="2" fillId="4" borderId="0" xfId="0" applyFont="1" applyFill="1" applyAlignment="1" applyProtection="1">
      <alignment horizontal="left" vertical="center" indent="1"/>
      <protection hidden="1"/>
    </xf>
    <xf numFmtId="0" fontId="2" fillId="0" borderId="7" xfId="0" applyFont="1" applyBorder="1">
      <alignment vertical="center"/>
    </xf>
    <xf numFmtId="0" fontId="2" fillId="0" borderId="0" xfId="0" applyFont="1" applyFill="1" applyBorder="1" applyAlignment="1">
      <alignment horizontal="left" vertical="center" indent="1"/>
    </xf>
    <xf numFmtId="0" fontId="1" fillId="4" borderId="0" xfId="0" applyFont="1" applyFill="1" applyAlignment="1" applyProtection="1">
      <alignment horizontal="center" vertical="center"/>
      <protection hidden="1"/>
    </xf>
    <xf numFmtId="0" fontId="1" fillId="4" borderId="0" xfId="0" applyFont="1" applyFill="1" applyAlignment="1" applyProtection="1">
      <alignment vertical="center"/>
      <protection hidden="1"/>
    </xf>
    <xf numFmtId="0" fontId="1" fillId="4" borderId="0" xfId="0" applyNumberFormat="1" applyFont="1" applyFill="1" applyAlignment="1" applyProtection="1">
      <alignment horizontal="center" vertical="center"/>
      <protection hidden="1"/>
    </xf>
    <xf numFmtId="0" fontId="1" fillId="4" borderId="0" xfId="0" applyNumberFormat="1" applyFont="1" applyFill="1" applyAlignment="1" applyProtection="1">
      <alignment vertical="center"/>
      <protection hidden="1"/>
    </xf>
    <xf numFmtId="0" fontId="1" fillId="4" borderId="7" xfId="0" applyFont="1" applyFill="1" applyBorder="1" applyAlignment="1" applyProtection="1">
      <alignment horizontal="center" vertical="center"/>
      <protection hidden="1"/>
    </xf>
    <xf numFmtId="4" fontId="1" fillId="4" borderId="0" xfId="0" applyNumberFormat="1" applyFont="1" applyFill="1" applyAlignment="1" applyProtection="1">
      <alignment horizontal="distributed"/>
      <protection hidden="1"/>
    </xf>
    <xf numFmtId="2" fontId="1" fillId="4" borderId="0" xfId="0" applyNumberFormat="1" applyFont="1" applyFill="1" applyAlignment="1" applyProtection="1">
      <alignment horizontal="center"/>
      <protection hidden="1"/>
    </xf>
    <xf numFmtId="0" fontId="1" fillId="4" borderId="7" xfId="0" applyFont="1" applyFill="1" applyBorder="1" applyAlignment="1" applyProtection="1">
      <alignment horizontal="center"/>
      <protection hidden="1"/>
    </xf>
    <xf numFmtId="0" fontId="1" fillId="4" borderId="0" xfId="0" applyFont="1" applyFill="1" applyAlignment="1" applyProtection="1">
      <alignment horizontal="center"/>
      <protection hidden="1"/>
    </xf>
    <xf numFmtId="0" fontId="1" fillId="4" borderId="0" xfId="0" applyFont="1" applyFill="1" applyBorder="1" applyAlignment="1" applyProtection="1">
      <alignment horizontal="center" vertical="center"/>
      <protection hidden="1"/>
    </xf>
    <xf numFmtId="184" fontId="1" fillId="4" borderId="7" xfId="0" applyNumberFormat="1" applyFont="1" applyFill="1" applyBorder="1" applyAlignment="1" applyProtection="1">
      <alignment horizontal="center"/>
      <protection hidden="1"/>
    </xf>
    <xf numFmtId="0" fontId="1" fillId="4" borderId="0" xfId="0" applyNumberFormat="1" applyFont="1" applyFill="1" applyBorder="1" applyAlignment="1" applyProtection="1">
      <alignment horizontal="center"/>
      <protection hidden="1"/>
    </xf>
    <xf numFmtId="0" fontId="1" fillId="4" borderId="0" xfId="0" applyFont="1" applyFill="1" applyBorder="1" applyAlignment="1" applyProtection="1">
      <alignment horizontal="center"/>
      <protection hidden="1"/>
    </xf>
    <xf numFmtId="0" fontId="2" fillId="4" borderId="0" xfId="0" applyFont="1" applyFill="1" applyBorder="1" applyAlignment="1">
      <alignment horizontal="center" vertical="center"/>
    </xf>
    <xf numFmtId="184" fontId="1" fillId="0" borderId="0" xfId="0" applyNumberFormat="1" applyFont="1" applyFill="1" applyAlignment="1">
      <alignment horizontal="center" vertical="center"/>
    </xf>
    <xf numFmtId="0" fontId="2" fillId="0" borderId="0" xfId="0" applyFont="1" applyAlignment="1">
      <alignment horizontal="left" vertical="center"/>
    </xf>
    <xf numFmtId="0" fontId="1" fillId="0" borderId="4" xfId="0" applyFont="1" applyFill="1" applyBorder="1" applyAlignment="1">
      <alignment horizontal="center" vertical="center" wrapText="1"/>
    </xf>
    <xf numFmtId="0" fontId="2" fillId="0" borderId="0" xfId="0" applyFont="1" applyAlignment="1">
      <alignment horizontal="center" vertical="center"/>
    </xf>
    <xf numFmtId="0" fontId="1" fillId="2" borderId="3" xfId="0" applyFont="1" applyFill="1" applyBorder="1" applyAlignment="1">
      <alignment vertical="center"/>
    </xf>
    <xf numFmtId="2" fontId="1" fillId="2" borderId="10" xfId="0" applyNumberFormat="1" applyFont="1" applyFill="1" applyBorder="1" applyAlignment="1">
      <alignment vertical="center"/>
    </xf>
    <xf numFmtId="0" fontId="2" fillId="2" borderId="5" xfId="0" applyFont="1" applyFill="1" applyBorder="1">
      <alignment vertical="center"/>
    </xf>
    <xf numFmtId="0" fontId="2" fillId="2" borderId="11" xfId="0" applyFont="1" applyFill="1" applyBorder="1">
      <alignment vertical="center"/>
    </xf>
    <xf numFmtId="0" fontId="1" fillId="5" borderId="4" xfId="0"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4" xfId="0" applyFont="1" applyFill="1" applyBorder="1" applyAlignment="1">
      <alignment vertical="center"/>
    </xf>
    <xf numFmtId="177" fontId="1" fillId="5" borderId="4" xfId="0" applyNumberFormat="1" applyFont="1" applyFill="1" applyBorder="1" applyAlignment="1">
      <alignment vertical="center"/>
    </xf>
    <xf numFmtId="176" fontId="1" fillId="5" borderId="4" xfId="0" applyNumberFormat="1" applyFont="1" applyFill="1" applyBorder="1" applyAlignment="1">
      <alignment vertical="center"/>
    </xf>
    <xf numFmtId="176" fontId="1" fillId="5" borderId="4" xfId="0" applyNumberFormat="1" applyFont="1" applyFill="1" applyBorder="1" applyAlignment="1">
      <alignment horizontal="center" vertical="center"/>
    </xf>
    <xf numFmtId="0" fontId="1" fillId="6" borderId="4" xfId="0" applyFont="1" applyFill="1" applyBorder="1" applyAlignment="1">
      <alignment horizontal="center" vertical="center"/>
    </xf>
    <xf numFmtId="0" fontId="1" fillId="6" borderId="4" xfId="0" applyFont="1" applyFill="1" applyBorder="1" applyAlignment="1">
      <alignment horizontal="center" vertical="center" wrapText="1"/>
    </xf>
    <xf numFmtId="0" fontId="1" fillId="6" borderId="4" xfId="0" applyFont="1" applyFill="1" applyBorder="1" applyAlignment="1">
      <alignment vertical="center"/>
    </xf>
    <xf numFmtId="177" fontId="1" fillId="6" borderId="4" xfId="0" applyNumberFormat="1" applyFont="1" applyFill="1" applyBorder="1" applyAlignment="1">
      <alignment vertical="center"/>
    </xf>
    <xf numFmtId="176" fontId="1" fillId="6" borderId="4" xfId="0" applyNumberFormat="1" applyFont="1" applyFill="1" applyBorder="1" applyAlignment="1">
      <alignment vertical="center"/>
    </xf>
    <xf numFmtId="176" fontId="1" fillId="6" borderId="4" xfId="0" applyNumberFormat="1" applyFont="1" applyFill="1" applyBorder="1" applyAlignment="1">
      <alignment horizontal="center" vertical="center"/>
    </xf>
    <xf numFmtId="0" fontId="2" fillId="0" borderId="0" xfId="0" applyFont="1" applyAlignment="1">
      <alignment horizontal="left" vertical="center"/>
    </xf>
    <xf numFmtId="183" fontId="2" fillId="0" borderId="0" xfId="0" applyNumberFormat="1" applyFont="1" applyAlignment="1">
      <alignment horizontal="left" vertical="center"/>
    </xf>
    <xf numFmtId="0" fontId="1" fillId="4" borderId="0" xfId="0" applyNumberFormat="1" applyFont="1" applyFill="1" applyAlignment="1" applyProtection="1">
      <protection hidden="1"/>
    </xf>
    <xf numFmtId="0" fontId="9" fillId="4" borderId="0" xfId="0" applyFont="1" applyFill="1" applyProtection="1">
      <alignment vertical="center"/>
      <protection hidden="1"/>
    </xf>
    <xf numFmtId="0" fontId="1" fillId="4" borderId="0" xfId="0" applyFont="1" applyFill="1" applyBorder="1" applyAlignment="1" applyProtection="1">
      <alignment horizontal="center"/>
      <protection hidden="1"/>
    </xf>
    <xf numFmtId="4" fontId="1" fillId="4" borderId="0" xfId="0" applyNumberFormat="1" applyFont="1" applyFill="1" applyAlignment="1" applyProtection="1">
      <alignment horizontal="center"/>
      <protection hidden="1"/>
    </xf>
    <xf numFmtId="184" fontId="1" fillId="0" borderId="0" xfId="0" applyNumberFormat="1" applyFont="1" applyFill="1" applyAlignment="1">
      <alignment horizontal="center" vertical="center"/>
    </xf>
    <xf numFmtId="0" fontId="2" fillId="4" borderId="0" xfId="0" applyFont="1" applyFill="1" applyBorder="1" applyAlignment="1">
      <alignment horizontal="center" vertical="center"/>
    </xf>
    <xf numFmtId="0" fontId="1" fillId="4" borderId="0" xfId="0" applyFont="1" applyFill="1" applyAlignment="1" applyProtection="1">
      <alignment horizontal="center" vertical="center"/>
      <protection hidden="1"/>
    </xf>
    <xf numFmtId="0" fontId="1" fillId="4" borderId="0" xfId="0" applyFont="1" applyFill="1" applyBorder="1" applyAlignment="1" applyProtection="1">
      <alignment horizontal="center"/>
      <protection hidden="1"/>
    </xf>
    <xf numFmtId="176" fontId="1" fillId="4" borderId="0" xfId="0" applyNumberFormat="1" applyFont="1" applyFill="1" applyBorder="1" applyAlignment="1" applyProtection="1">
      <alignment horizontal="center"/>
      <protection hidden="1"/>
    </xf>
    <xf numFmtId="0" fontId="1" fillId="4" borderId="0" xfId="0" applyFont="1" applyFill="1" applyAlignment="1" applyProtection="1">
      <alignment horizontal="center"/>
      <protection hidden="1"/>
    </xf>
    <xf numFmtId="0" fontId="1" fillId="4" borderId="7" xfId="0" applyNumberFormat="1" applyFont="1" applyFill="1" applyBorder="1" applyAlignment="1" applyProtection="1">
      <alignment horizontal="center" vertical="center"/>
      <protection hidden="1"/>
    </xf>
    <xf numFmtId="0" fontId="1" fillId="4" borderId="0" xfId="0" applyFont="1" applyFill="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 fillId="4" borderId="0" xfId="0" applyNumberFormat="1" applyFont="1" applyFill="1" applyBorder="1" applyAlignment="1" applyProtection="1">
      <alignment horizontal="center"/>
      <protection hidden="1"/>
    </xf>
    <xf numFmtId="0" fontId="1" fillId="4" borderId="7" xfId="0" applyFont="1" applyFill="1" applyBorder="1" applyAlignment="1" applyProtection="1">
      <alignment horizontal="center"/>
      <protection hidden="1"/>
    </xf>
    <xf numFmtId="2" fontId="1" fillId="4" borderId="0" xfId="0" applyNumberFormat="1" applyFont="1" applyFill="1" applyAlignment="1" applyProtection="1">
      <alignment horizontal="center"/>
      <protection hidden="1"/>
    </xf>
    <xf numFmtId="184" fontId="1" fillId="4" borderId="7" xfId="0" applyNumberFormat="1" applyFont="1" applyFill="1" applyBorder="1" applyAlignment="1" applyProtection="1">
      <alignment horizontal="center"/>
      <protection hidden="1"/>
    </xf>
    <xf numFmtId="0" fontId="1" fillId="4" borderId="7" xfId="0" applyFont="1" applyFill="1" applyBorder="1" applyAlignment="1" applyProtection="1">
      <alignment horizontal="center" vertical="center"/>
      <protection hidden="1"/>
    </xf>
    <xf numFmtId="0" fontId="1" fillId="4" borderId="0" xfId="0" applyNumberFormat="1" applyFont="1" applyFill="1" applyAlignment="1" applyProtection="1">
      <alignment vertical="center"/>
      <protection hidden="1"/>
    </xf>
    <xf numFmtId="4" fontId="1" fillId="4" borderId="0" xfId="0" applyNumberFormat="1" applyFont="1" applyFill="1" applyAlignment="1" applyProtection="1">
      <alignment horizontal="center"/>
      <protection hidden="1"/>
    </xf>
    <xf numFmtId="0" fontId="1" fillId="4" borderId="0" xfId="0" applyFont="1" applyFill="1" applyBorder="1" applyAlignment="1" applyProtection="1">
      <alignment horizontal="center" vertical="center"/>
      <protection hidden="1"/>
    </xf>
    <xf numFmtId="177" fontId="1" fillId="4" borderId="0" xfId="0" applyNumberFormat="1" applyFont="1" applyFill="1" applyAlignment="1" applyProtection="1">
      <alignment horizontal="center" vertical="center"/>
      <protection hidden="1"/>
    </xf>
    <xf numFmtId="4" fontId="1" fillId="4" borderId="0" xfId="0" applyNumberFormat="1" applyFont="1" applyFill="1" applyAlignment="1" applyProtection="1">
      <alignment horizontal="distributed"/>
      <protection hidden="1"/>
    </xf>
    <xf numFmtId="0" fontId="1" fillId="4" borderId="0" xfId="0" applyFont="1" applyFill="1" applyAlignment="1" applyProtection="1">
      <alignment vertical="center"/>
      <protection hidden="1"/>
    </xf>
    <xf numFmtId="0" fontId="2" fillId="4" borderId="2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177" fontId="18" fillId="4" borderId="0" xfId="0" applyNumberFormat="1" applyFont="1" applyFill="1" applyAlignment="1" applyProtection="1">
      <alignment horizontal="left" vertical="center"/>
      <protection hidden="1"/>
    </xf>
    <xf numFmtId="195" fontId="1" fillId="0" borderId="4" xfId="0" applyNumberFormat="1" applyFont="1" applyBorder="1" applyAlignment="1">
      <alignment horizontal="center" vertical="center"/>
    </xf>
    <xf numFmtId="195" fontId="1" fillId="0" borderId="20" xfId="0" applyNumberFormat="1" applyFont="1" applyBorder="1" applyAlignment="1">
      <alignment horizontal="center" vertical="center"/>
    </xf>
    <xf numFmtId="0" fontId="1" fillId="5" borderId="4" xfId="0" applyFont="1" applyFill="1" applyBorder="1">
      <alignment vertical="center"/>
    </xf>
    <xf numFmtId="177" fontId="1" fillId="5" borderId="4" xfId="0" applyNumberFormat="1" applyFont="1" applyFill="1" applyBorder="1">
      <alignment vertical="center"/>
    </xf>
    <xf numFmtId="176" fontId="1" fillId="5" borderId="4" xfId="0" applyNumberFormat="1" applyFont="1" applyFill="1" applyBorder="1">
      <alignment vertical="center"/>
    </xf>
    <xf numFmtId="0" fontId="1" fillId="0" borderId="0" xfId="0" applyFont="1" applyFill="1" applyBorder="1" applyAlignment="1" applyProtection="1"/>
    <xf numFmtId="199" fontId="1" fillId="4" borderId="0" xfId="0" applyNumberFormat="1" applyFont="1" applyFill="1" applyBorder="1" applyAlignment="1" applyProtection="1">
      <alignment vertical="center"/>
    </xf>
    <xf numFmtId="0" fontId="2" fillId="4" borderId="0" xfId="0" applyFont="1" applyFill="1" applyBorder="1" applyAlignment="1">
      <alignment horizontal="center" vertical="center"/>
    </xf>
    <xf numFmtId="0" fontId="2" fillId="4" borderId="21" xfId="0" applyFont="1" applyFill="1" applyBorder="1" applyAlignment="1">
      <alignment horizontal="center" vertical="center" wrapText="1"/>
    </xf>
    <xf numFmtId="176" fontId="2" fillId="0" borderId="0" xfId="0" applyNumberFormat="1" applyFont="1" applyBorder="1" applyAlignment="1">
      <alignment horizontal="center" vertical="center"/>
    </xf>
    <xf numFmtId="2" fontId="2" fillId="0" borderId="0" xfId="0" applyNumberFormat="1" applyFont="1" applyFill="1" applyBorder="1" applyAlignment="1">
      <alignment horizontal="center" vertical="center"/>
    </xf>
    <xf numFmtId="177" fontId="2" fillId="0" borderId="0" xfId="0" applyNumberFormat="1" applyFont="1" applyBorder="1" applyAlignment="1">
      <alignment horizontal="center" vertical="center"/>
    </xf>
    <xf numFmtId="0" fontId="2" fillId="4" borderId="0" xfId="0" applyFont="1" applyFill="1" applyBorder="1" applyAlignment="1">
      <alignment horizontal="center" vertical="center"/>
    </xf>
    <xf numFmtId="0" fontId="2" fillId="4" borderId="21"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vertical="center"/>
    </xf>
    <xf numFmtId="177" fontId="7" fillId="0" borderId="0" xfId="0" applyNumberFormat="1" applyFont="1" applyFill="1" applyBorder="1" applyAlignment="1">
      <alignment vertical="top"/>
    </xf>
    <xf numFmtId="0" fontId="1" fillId="0" borderId="0" xfId="0" applyNumberFormat="1" applyFont="1" applyFill="1" applyBorder="1" applyAlignment="1">
      <alignment horizontal="center" vertical="center"/>
    </xf>
    <xf numFmtId="0" fontId="6" fillId="0" borderId="0" xfId="0" applyFont="1" applyFill="1" applyBorder="1">
      <alignment vertical="center"/>
    </xf>
    <xf numFmtId="0" fontId="27" fillId="0" borderId="0" xfId="0" applyNumberFormat="1" applyFont="1" applyFill="1" applyBorder="1" applyAlignment="1"/>
    <xf numFmtId="0" fontId="2" fillId="0" borderId="0" xfId="0" quotePrefix="1" applyFont="1" applyFill="1" applyBorder="1" applyAlignment="1">
      <alignment vertical="center"/>
    </xf>
    <xf numFmtId="0" fontId="1" fillId="0" borderId="0" xfId="0" applyFont="1" applyFill="1" applyBorder="1" applyAlignment="1">
      <alignment horizontal="center"/>
    </xf>
    <xf numFmtId="0" fontId="2" fillId="4" borderId="0" xfId="0" applyFont="1" applyFill="1" applyBorder="1" applyAlignment="1">
      <alignment horizontal="center" vertical="center"/>
    </xf>
    <xf numFmtId="0" fontId="1" fillId="4" borderId="0" xfId="0" applyNumberFormat="1" applyFont="1" applyFill="1" applyBorder="1" applyAlignment="1" applyProtection="1">
      <alignment horizontal="center"/>
      <protection hidden="1"/>
    </xf>
    <xf numFmtId="0" fontId="1" fillId="4" borderId="0" xfId="0" applyFont="1" applyFill="1" applyBorder="1" applyAlignment="1" applyProtection="1">
      <alignment horizontal="center" vertical="center"/>
      <protection hidden="1"/>
    </xf>
    <xf numFmtId="0" fontId="1" fillId="4" borderId="0" xfId="0" applyFont="1" applyFill="1" applyAlignment="1" applyProtection="1">
      <alignment vertical="center"/>
      <protection hidden="1"/>
    </xf>
    <xf numFmtId="0" fontId="3" fillId="0" borderId="0" xfId="0" applyFont="1" applyFill="1" applyBorder="1" applyAlignment="1">
      <alignment horizontal="center" vertical="center"/>
    </xf>
    <xf numFmtId="0" fontId="1" fillId="4" borderId="0" xfId="0" applyNumberFormat="1" applyFont="1" applyFill="1" applyBorder="1" applyAlignment="1" applyProtection="1">
      <alignment horizontal="center"/>
      <protection hidden="1"/>
    </xf>
    <xf numFmtId="0" fontId="2" fillId="4"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4" borderId="0" xfId="0" applyFont="1" applyFill="1" applyBorder="1" applyAlignment="1" applyProtection="1">
      <alignment horizontal="center" vertical="center"/>
      <protection hidden="1"/>
    </xf>
    <xf numFmtId="0" fontId="1" fillId="4" borderId="0" xfId="0" applyFont="1" applyFill="1" applyAlignment="1" applyProtection="1">
      <alignment vertical="center"/>
      <protection hidden="1"/>
    </xf>
    <xf numFmtId="0" fontId="2" fillId="0" borderId="0" xfId="0" applyFont="1" applyAlignment="1">
      <alignment horizontal="left" vertical="center"/>
    </xf>
    <xf numFmtId="0" fontId="1" fillId="0" borderId="0" xfId="0" applyFont="1" applyFill="1" applyBorder="1" applyAlignment="1">
      <alignment horizontal="center" vertical="center" wrapText="1"/>
    </xf>
    <xf numFmtId="177" fontId="1" fillId="0" borderId="0" xfId="0" applyNumberFormat="1"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lignment vertical="center" wrapText="1"/>
    </xf>
    <xf numFmtId="194" fontId="2" fillId="0" borderId="0" xfId="0" applyNumberFormat="1" applyFont="1" applyFill="1" applyBorder="1" applyAlignment="1" applyProtection="1">
      <alignment vertical="center"/>
    </xf>
    <xf numFmtId="0" fontId="2" fillId="0" borderId="0" xfId="0" applyFont="1" applyFill="1" applyBorder="1" applyProtection="1">
      <alignment vertical="center"/>
    </xf>
    <xf numFmtId="182" fontId="9" fillId="4" borderId="0" xfId="0" applyNumberFormat="1" applyFont="1" applyFill="1" applyBorder="1" applyAlignment="1">
      <alignment vertical="center"/>
    </xf>
    <xf numFmtId="0" fontId="2" fillId="4" borderId="13" xfId="0" applyFont="1" applyFill="1" applyBorder="1" applyAlignment="1" applyProtection="1">
      <alignment vertical="center"/>
    </xf>
    <xf numFmtId="0" fontId="1" fillId="0" borderId="4" xfId="0" applyFont="1" applyFill="1" applyBorder="1" applyAlignment="1"/>
    <xf numFmtId="2" fontId="1" fillId="0" borderId="4" xfId="0" applyNumberFormat="1" applyFont="1" applyFill="1" applyBorder="1" applyAlignment="1">
      <alignment vertical="center"/>
    </xf>
    <xf numFmtId="2" fontId="2" fillId="0" borderId="4" xfId="0" applyNumberFormat="1" applyFont="1" applyBorder="1">
      <alignment vertical="center"/>
    </xf>
    <xf numFmtId="2" fontId="1" fillId="0" borderId="4" xfId="0" applyNumberFormat="1" applyFont="1" applyFill="1" applyBorder="1" applyAlignment="1"/>
    <xf numFmtId="0" fontId="1" fillId="5" borderId="21" xfId="0" applyFont="1" applyFill="1" applyBorder="1" applyAlignment="1">
      <alignment vertical="center"/>
    </xf>
    <xf numFmtId="0" fontId="1" fillId="5" borderId="21" xfId="0" applyFont="1" applyFill="1" applyBorder="1">
      <alignment vertical="center"/>
    </xf>
    <xf numFmtId="183" fontId="2" fillId="0" borderId="0" xfId="0" applyNumberFormat="1" applyFont="1" applyAlignment="1">
      <alignment horizontal="left" vertical="center" indent="1"/>
    </xf>
    <xf numFmtId="0" fontId="1" fillId="4" borderId="15" xfId="0" applyFont="1" applyFill="1" applyBorder="1" applyAlignment="1" applyProtection="1">
      <alignment horizontal="center" shrinkToFit="1"/>
      <protection hidden="1"/>
    </xf>
    <xf numFmtId="0" fontId="1" fillId="4" borderId="8" xfId="0" applyFont="1" applyFill="1" applyBorder="1" applyAlignment="1" applyProtection="1">
      <alignment horizontal="center" shrinkToFit="1"/>
      <protection hidden="1"/>
    </xf>
    <xf numFmtId="0" fontId="1" fillId="4" borderId="14" xfId="0" applyFont="1" applyFill="1" applyBorder="1" applyAlignment="1" applyProtection="1">
      <alignment horizontal="center" shrinkToFit="1"/>
      <protection hidden="1"/>
    </xf>
    <xf numFmtId="0" fontId="1" fillId="4" borderId="0" xfId="0" applyNumberFormat="1" applyFont="1" applyFill="1" applyBorder="1" applyAlignment="1" applyProtection="1">
      <alignment horizontal="center"/>
      <protection hidden="1"/>
    </xf>
    <xf numFmtId="0" fontId="1" fillId="0" borderId="4" xfId="0" applyFont="1" applyFill="1" applyBorder="1" applyAlignment="1">
      <alignment horizontal="center" vertical="center" wrapText="1"/>
    </xf>
    <xf numFmtId="0" fontId="1" fillId="4" borderId="19" xfId="0" applyFont="1" applyFill="1" applyBorder="1" applyAlignment="1" applyProtection="1">
      <alignment horizontal="center" shrinkToFit="1"/>
      <protection hidden="1"/>
    </xf>
    <xf numFmtId="0" fontId="1" fillId="4" borderId="0" xfId="0" applyFont="1" applyFill="1" applyBorder="1" applyAlignment="1" applyProtection="1">
      <alignment horizontal="center" shrinkToFit="1"/>
      <protection hidden="1"/>
    </xf>
    <xf numFmtId="0" fontId="1" fillId="4" borderId="20" xfId="0" applyFont="1" applyFill="1" applyBorder="1" applyAlignment="1" applyProtection="1">
      <alignment horizontal="center" shrinkToFit="1"/>
      <protection hidden="1"/>
    </xf>
    <xf numFmtId="0" fontId="1" fillId="4" borderId="17" xfId="0" applyFont="1" applyFill="1" applyBorder="1" applyAlignment="1" applyProtection="1">
      <alignment horizontal="center" shrinkToFit="1"/>
      <protection hidden="1"/>
    </xf>
    <xf numFmtId="0" fontId="1" fillId="4" borderId="7" xfId="0" applyFont="1" applyFill="1" applyBorder="1" applyAlignment="1" applyProtection="1">
      <alignment horizontal="center" shrinkToFit="1"/>
      <protection hidden="1"/>
    </xf>
    <xf numFmtId="0" fontId="1" fillId="4" borderId="16" xfId="0" applyFont="1" applyFill="1" applyBorder="1" applyAlignment="1" applyProtection="1">
      <alignment horizontal="center" shrinkToFit="1"/>
      <protection hidden="1"/>
    </xf>
    <xf numFmtId="0" fontId="11" fillId="4" borderId="0" xfId="0" applyFont="1" applyFill="1" applyBorder="1" applyAlignment="1" applyProtection="1">
      <alignment vertical="center" wrapText="1"/>
      <protection hidden="1"/>
    </xf>
    <xf numFmtId="0" fontId="1" fillId="4" borderId="0" xfId="0" applyFont="1" applyFill="1" applyBorder="1" applyAlignment="1" applyProtection="1">
      <alignment shrinkToFit="1"/>
      <protection hidden="1"/>
    </xf>
    <xf numFmtId="0" fontId="14" fillId="4" borderId="0" xfId="0" applyFont="1" applyFill="1" applyBorder="1" applyAlignment="1" applyProtection="1">
      <alignment vertical="center" wrapText="1"/>
      <protection hidden="1"/>
    </xf>
    <xf numFmtId="0" fontId="15" fillId="4" borderId="0" xfId="0" applyFont="1" applyFill="1" applyBorder="1" applyAlignment="1" applyProtection="1">
      <alignment vertical="center" wrapText="1"/>
      <protection hidden="1"/>
    </xf>
    <xf numFmtId="0" fontId="1" fillId="4" borderId="0" xfId="0" applyFont="1" applyFill="1" applyBorder="1" applyAlignment="1" applyProtection="1">
      <alignment wrapText="1" shrinkToFit="1"/>
      <protection hidden="1"/>
    </xf>
    <xf numFmtId="0" fontId="1" fillId="7" borderId="0" xfId="0" applyNumberFormat="1" applyFont="1" applyFill="1" applyAlignment="1">
      <alignment vertical="center"/>
    </xf>
    <xf numFmtId="0" fontId="1" fillId="7" borderId="0" xfId="0" applyNumberFormat="1" applyFont="1" applyFill="1" applyBorder="1" applyAlignment="1">
      <alignment vertical="center"/>
    </xf>
    <xf numFmtId="0" fontId="2" fillId="7" borderId="0" xfId="0" applyNumberFormat="1" applyFont="1" applyFill="1" applyAlignment="1">
      <alignment vertical="center"/>
    </xf>
    <xf numFmtId="0" fontId="2" fillId="7" borderId="0" xfId="0" applyFont="1" applyFill="1">
      <alignment vertical="center"/>
    </xf>
    <xf numFmtId="0" fontId="2" fillId="4" borderId="0" xfId="0" applyFont="1" applyFill="1">
      <alignment vertical="center"/>
    </xf>
    <xf numFmtId="0" fontId="28" fillId="4" borderId="0" xfId="0" applyFont="1" applyFill="1">
      <alignment vertical="center"/>
    </xf>
    <xf numFmtId="0" fontId="2" fillId="4" borderId="0" xfId="0" applyFont="1" applyFill="1" applyAlignment="1" applyProtection="1">
      <alignment horizontal="centerContinuous" vertical="center"/>
      <protection hidden="1"/>
    </xf>
    <xf numFmtId="4" fontId="1" fillId="4" borderId="0" xfId="0" applyNumberFormat="1" applyFont="1" applyFill="1" applyAlignment="1" applyProtection="1">
      <alignment horizontal="center"/>
      <protection hidden="1"/>
    </xf>
    <xf numFmtId="0" fontId="29" fillId="0" borderId="0" xfId="0" applyFont="1">
      <alignment vertical="center"/>
    </xf>
    <xf numFmtId="0" fontId="1" fillId="4" borderId="0" xfId="0" applyFont="1" applyFill="1" applyAlignment="1" applyProtection="1">
      <alignment horizontal="center" vertical="center"/>
      <protection hidden="1"/>
    </xf>
    <xf numFmtId="0" fontId="1" fillId="4" borderId="0" xfId="0" applyFont="1" applyFill="1" applyAlignment="1" applyProtection="1">
      <alignment vertical="center"/>
      <protection hidden="1"/>
    </xf>
    <xf numFmtId="199" fontId="8" fillId="4" borderId="0" xfId="0" applyNumberFormat="1" applyFont="1" applyFill="1" applyBorder="1" applyAlignment="1" applyProtection="1">
      <alignment vertical="center"/>
    </xf>
    <xf numFmtId="0" fontId="2" fillId="4" borderId="0" xfId="0" applyFont="1" applyFill="1" applyAlignment="1">
      <alignment horizontal="center" vertical="center"/>
    </xf>
    <xf numFmtId="0" fontId="4" fillId="4" borderId="0" xfId="0" applyFont="1" applyFill="1" applyBorder="1" applyAlignment="1">
      <alignment horizontal="left" vertical="center"/>
    </xf>
    <xf numFmtId="0" fontId="2" fillId="0" borderId="0" xfId="0" applyFont="1" applyFill="1" applyBorder="1" applyAlignment="1">
      <alignment horizontal="center" vertical="center"/>
    </xf>
    <xf numFmtId="0" fontId="1"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9" fillId="4" borderId="0" xfId="0" applyFont="1" applyFill="1" applyBorder="1" applyAlignment="1" applyProtection="1">
      <protection hidden="1"/>
    </xf>
    <xf numFmtId="0" fontId="9" fillId="4" borderId="0" xfId="0" applyFont="1" applyFill="1" applyAlignment="1" applyProtection="1">
      <alignment vertical="center"/>
      <protection hidden="1"/>
    </xf>
    <xf numFmtId="0" fontId="31" fillId="4" borderId="0" xfId="0" applyFont="1" applyFill="1" applyBorder="1" applyAlignment="1" applyProtection="1">
      <protection hidden="1"/>
    </xf>
    <xf numFmtId="0" fontId="1" fillId="4" borderId="13" xfId="0" applyFont="1" applyFill="1" applyBorder="1" applyAlignment="1">
      <alignment vertical="center"/>
    </xf>
    <xf numFmtId="0" fontId="1" fillId="4" borderId="0" xfId="0" applyFont="1" applyFill="1" applyBorder="1" applyAlignment="1" applyProtection="1">
      <alignment horizontal="center" vertical="center"/>
      <protection hidden="1"/>
    </xf>
    <xf numFmtId="0" fontId="1" fillId="4" borderId="0" xfId="0" applyNumberFormat="1" applyFont="1" applyFill="1" applyBorder="1" applyAlignment="1" applyProtection="1">
      <alignment horizontal="center"/>
      <protection hidden="1"/>
    </xf>
    <xf numFmtId="0" fontId="1" fillId="4" borderId="0" xfId="0" applyFont="1" applyFill="1" applyBorder="1" applyAlignment="1" applyProtection="1">
      <alignment horizontal="center" vertical="center"/>
      <protection hidden="1"/>
    </xf>
    <xf numFmtId="0" fontId="1" fillId="4" borderId="0" xfId="0" applyFont="1" applyFill="1" applyAlignment="1" applyProtection="1">
      <alignment vertical="center"/>
      <protection hidden="1"/>
    </xf>
    <xf numFmtId="0" fontId="1" fillId="4" borderId="0" xfId="0" applyNumberFormat="1" applyFont="1" applyFill="1" applyAlignment="1" applyProtection="1">
      <alignment vertical="center"/>
      <protection hidden="1"/>
    </xf>
    <xf numFmtId="0" fontId="1" fillId="4" borderId="0" xfId="0" applyNumberFormat="1" applyFont="1" applyFill="1" applyBorder="1" applyAlignment="1" applyProtection="1">
      <alignment horizontal="center"/>
      <protection hidden="1"/>
    </xf>
    <xf numFmtId="186" fontId="1" fillId="4" borderId="0" xfId="0" applyNumberFormat="1" applyFont="1" applyFill="1" applyBorder="1" applyAlignment="1" applyProtection="1">
      <alignment horizontal="center" vertical="center"/>
      <protection hidden="1"/>
    </xf>
    <xf numFmtId="186" fontId="1" fillId="4" borderId="0" xfId="0" applyNumberFormat="1" applyFont="1" applyFill="1" applyBorder="1" applyAlignment="1" applyProtection="1">
      <alignment vertical="center"/>
      <protection hidden="1"/>
    </xf>
    <xf numFmtId="186" fontId="1" fillId="4" borderId="0" xfId="0" applyNumberFormat="1" applyFont="1" applyFill="1" applyBorder="1" applyAlignment="1" applyProtection="1">
      <alignment horizontal="center" vertical="center"/>
      <protection hidden="1"/>
    </xf>
    <xf numFmtId="0" fontId="1" fillId="4" borderId="0" xfId="0" applyNumberFormat="1" applyFont="1" applyFill="1" applyBorder="1" applyAlignment="1" applyProtection="1">
      <alignment horizontal="center" vertical="center"/>
      <protection hidden="1"/>
    </xf>
    <xf numFmtId="0" fontId="1" fillId="4" borderId="0" xfId="0" applyFont="1" applyFill="1" applyBorder="1" applyAlignment="1" applyProtection="1">
      <alignment horizontal="center" vertical="top"/>
      <protection hidden="1"/>
    </xf>
    <xf numFmtId="0" fontId="16" fillId="4" borderId="0" xfId="0" applyFont="1" applyFill="1" applyBorder="1" applyAlignment="1" applyProtection="1">
      <alignment vertical="top"/>
      <protection hidden="1"/>
    </xf>
    <xf numFmtId="0" fontId="1" fillId="4" borderId="0" xfId="0" applyNumberFormat="1" applyFont="1" applyFill="1" applyBorder="1" applyAlignment="1" applyProtection="1">
      <alignment vertical="center"/>
      <protection hidden="1"/>
    </xf>
    <xf numFmtId="0" fontId="1" fillId="4" borderId="0" xfId="0" applyNumberFormat="1" applyFont="1" applyFill="1" applyAlignment="1" applyProtection="1">
      <alignment vertical="center"/>
      <protection hidden="1"/>
    </xf>
    <xf numFmtId="186" fontId="1" fillId="4" borderId="0" xfId="0" applyNumberFormat="1" applyFont="1" applyFill="1" applyBorder="1" applyAlignment="1" applyProtection="1">
      <alignment horizontal="center" vertical="center"/>
      <protection hidden="1"/>
    </xf>
    <xf numFmtId="0" fontId="1" fillId="4" borderId="0" xfId="0" applyNumberFormat="1" applyFont="1" applyFill="1" applyBorder="1" applyAlignment="1" applyProtection="1">
      <alignment horizontal="center" vertical="center"/>
      <protection hidden="1"/>
    </xf>
    <xf numFmtId="0" fontId="1" fillId="4" borderId="0" xfId="0" applyNumberFormat="1" applyFont="1" applyFill="1" applyBorder="1" applyAlignment="1" applyProtection="1">
      <alignment vertical="center"/>
      <protection hidden="1"/>
    </xf>
    <xf numFmtId="0" fontId="1" fillId="4" borderId="0" xfId="0" applyFont="1" applyFill="1" applyBorder="1" applyAlignment="1" applyProtection="1">
      <alignment horizontal="center" vertical="top"/>
      <protection hidden="1"/>
    </xf>
    <xf numFmtId="0" fontId="1" fillId="4" borderId="0" xfId="0" applyFont="1" applyFill="1" applyAlignment="1" applyProtection="1">
      <alignment vertical="center"/>
      <protection hidden="1"/>
    </xf>
    <xf numFmtId="0" fontId="1" fillId="4" borderId="0" xfId="0" applyNumberFormat="1" applyFont="1" applyFill="1" applyBorder="1" applyAlignment="1" applyProtection="1">
      <alignment horizontal="center"/>
      <protection hidden="1"/>
    </xf>
    <xf numFmtId="0" fontId="2" fillId="0" borderId="13" xfId="0" applyFont="1" applyFill="1" applyBorder="1">
      <alignment vertical="center"/>
    </xf>
    <xf numFmtId="0" fontId="9" fillId="4" borderId="0" xfId="0" applyNumberFormat="1" applyFont="1" applyFill="1" applyBorder="1" applyAlignment="1" applyProtection="1">
      <protection hidden="1"/>
    </xf>
    <xf numFmtId="0" fontId="1" fillId="4" borderId="0" xfId="0" quotePrefix="1" applyNumberFormat="1" applyFont="1" applyFill="1" applyBorder="1" applyAlignment="1" applyProtection="1">
      <alignment vertical="center"/>
      <protection hidden="1"/>
    </xf>
    <xf numFmtId="0" fontId="1" fillId="4" borderId="0" xfId="0" quotePrefix="1" applyFont="1" applyFill="1" applyBorder="1" applyAlignment="1" applyProtection="1">
      <alignment vertical="center"/>
      <protection hidden="1"/>
    </xf>
    <xf numFmtId="2" fontId="1" fillId="4" borderId="0" xfId="0" applyNumberFormat="1" applyFont="1" applyFill="1" applyBorder="1" applyAlignment="1"/>
    <xf numFmtId="0" fontId="1" fillId="4" borderId="0" xfId="0" applyFont="1" applyFill="1" applyAlignment="1">
      <alignment vertical="center"/>
    </xf>
    <xf numFmtId="0" fontId="1" fillId="4" borderId="0" xfId="0" applyFont="1" applyFill="1" applyAlignment="1">
      <alignment horizontal="center" vertical="center"/>
    </xf>
    <xf numFmtId="0" fontId="2" fillId="0"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0" xfId="0" applyFont="1" applyFill="1" applyBorder="1" applyProtection="1">
      <alignment vertical="center"/>
    </xf>
    <xf numFmtId="0" fontId="2" fillId="4" borderId="0" xfId="0" applyFont="1" applyFill="1" applyBorder="1" applyAlignment="1" applyProtection="1">
      <alignment horizontal="center" vertical="center"/>
    </xf>
    <xf numFmtId="0" fontId="2" fillId="4" borderId="0" xfId="0" applyFont="1" applyFill="1" applyBorder="1" applyAlignment="1" applyProtection="1">
      <alignment vertical="center"/>
    </xf>
    <xf numFmtId="0" fontId="1" fillId="4" borderId="18" xfId="0" applyFont="1" applyFill="1" applyBorder="1" applyAlignment="1" applyProtection="1">
      <alignment vertical="center"/>
    </xf>
    <xf numFmtId="0" fontId="1" fillId="4" borderId="12" xfId="0" applyFont="1" applyFill="1" applyBorder="1" applyAlignment="1" applyProtection="1">
      <alignment vertical="center"/>
    </xf>
    <xf numFmtId="0" fontId="2" fillId="4" borderId="0" xfId="0" applyFont="1" applyFill="1" applyBorder="1" applyAlignment="1" applyProtection="1">
      <alignment horizontal="left" vertical="center"/>
    </xf>
    <xf numFmtId="0" fontId="1" fillId="4" borderId="0" xfId="0" applyNumberFormat="1" applyFont="1" applyFill="1" applyBorder="1" applyAlignment="1" applyProtection="1">
      <alignment horizontal="right"/>
    </xf>
    <xf numFmtId="0" fontId="3" fillId="4" borderId="0" xfId="0" applyFont="1" applyFill="1" applyBorder="1" applyAlignment="1" applyProtection="1">
      <alignment vertical="center"/>
    </xf>
    <xf numFmtId="177" fontId="7" fillId="4" borderId="0" xfId="0" applyNumberFormat="1" applyFont="1" applyFill="1" applyBorder="1" applyAlignment="1" applyProtection="1">
      <alignment horizontal="center" vertical="top"/>
    </xf>
    <xf numFmtId="180" fontId="2" fillId="4" borderId="0" xfId="0" applyNumberFormat="1" applyFont="1" applyFill="1" applyBorder="1" applyAlignment="1" applyProtection="1">
      <alignment horizontal="center" vertical="center"/>
    </xf>
    <xf numFmtId="0" fontId="3" fillId="4" borderId="0" xfId="0" applyFont="1" applyFill="1" applyBorder="1" applyProtection="1">
      <alignment vertical="center"/>
    </xf>
    <xf numFmtId="0" fontId="1" fillId="4" borderId="0" xfId="0" applyFont="1" applyFill="1" applyBorder="1" applyProtection="1">
      <alignment vertical="center"/>
    </xf>
    <xf numFmtId="0" fontId="1" fillId="4" borderId="0" xfId="0" applyNumberFormat="1" applyFont="1" applyFill="1" applyBorder="1" applyAlignment="1" applyProtection="1"/>
    <xf numFmtId="0" fontId="9" fillId="4" borderId="0" xfId="0" applyFont="1" applyFill="1" applyBorder="1" applyProtection="1">
      <alignment vertical="center"/>
    </xf>
    <xf numFmtId="176" fontId="2" fillId="4" borderId="0" xfId="0" applyNumberFormat="1"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182" fontId="1" fillId="4" borderId="0" xfId="0" applyNumberFormat="1" applyFont="1" applyFill="1" applyBorder="1" applyAlignment="1" applyProtection="1">
      <alignment vertical="center"/>
    </xf>
    <xf numFmtId="182" fontId="9" fillId="4" borderId="0" xfId="0" applyNumberFormat="1" applyFont="1" applyFill="1" applyBorder="1" applyAlignment="1" applyProtection="1">
      <alignment vertical="center"/>
    </xf>
    <xf numFmtId="0" fontId="3" fillId="4" borderId="0" xfId="0" quotePrefix="1" applyFont="1" applyFill="1" applyBorder="1" applyAlignment="1" applyProtection="1">
      <alignment vertical="center"/>
    </xf>
    <xf numFmtId="0" fontId="1" fillId="4" borderId="0" xfId="0" applyFont="1" applyFill="1" applyBorder="1" applyAlignment="1" applyProtection="1">
      <alignment horizontal="right"/>
    </xf>
    <xf numFmtId="0" fontId="1" fillId="0" borderId="0" xfId="0" applyNumberFormat="1" applyFont="1" applyFill="1" applyBorder="1" applyAlignment="1"/>
    <xf numFmtId="0" fontId="2" fillId="0" borderId="4" xfId="0" applyFont="1" applyBorder="1" applyAlignment="1">
      <alignment horizontal="center" vertical="center"/>
    </xf>
    <xf numFmtId="0" fontId="1" fillId="4" borderId="0" xfId="0" applyFont="1" applyFill="1" applyBorder="1" applyAlignment="1" applyProtection="1">
      <alignment horizontal="center"/>
      <protection hidden="1"/>
    </xf>
    <xf numFmtId="4" fontId="1" fillId="4" borderId="0" xfId="0" applyNumberFormat="1" applyFont="1" applyFill="1" applyAlignment="1" applyProtection="1">
      <alignment horizontal="center"/>
      <protection hidden="1"/>
    </xf>
    <xf numFmtId="3" fontId="1" fillId="4" borderId="0" xfId="0" applyNumberFormat="1" applyFont="1" applyFill="1" applyBorder="1" applyAlignment="1" applyProtection="1">
      <alignment horizontal="center"/>
      <protection hidden="1"/>
    </xf>
    <xf numFmtId="0" fontId="1" fillId="4" borderId="0" xfId="0" applyNumberFormat="1" applyFont="1" applyFill="1" applyBorder="1" applyAlignment="1" applyProtection="1">
      <alignment horizontal="center"/>
      <protection hidden="1"/>
    </xf>
    <xf numFmtId="0" fontId="1" fillId="4" borderId="19" xfId="0" applyFont="1" applyFill="1" applyBorder="1" applyAlignment="1" applyProtection="1">
      <alignment vertical="center" shrinkToFit="1"/>
      <protection hidden="1"/>
    </xf>
    <xf numFmtId="197" fontId="1" fillId="4" borderId="19" xfId="0" applyNumberFormat="1" applyFont="1" applyFill="1" applyBorder="1" applyAlignment="1" applyProtection="1">
      <alignment vertical="center"/>
      <protection hidden="1"/>
    </xf>
    <xf numFmtId="0" fontId="1" fillId="4" borderId="15" xfId="0" applyFont="1" applyFill="1" applyBorder="1" applyAlignment="1" applyProtection="1">
      <alignment vertical="center" shrinkToFit="1"/>
      <protection hidden="1"/>
    </xf>
    <xf numFmtId="0" fontId="1" fillId="4" borderId="17" xfId="0" applyFont="1" applyFill="1" applyBorder="1" applyAlignment="1" applyProtection="1">
      <alignment vertical="center" shrinkToFit="1"/>
      <protection hidden="1"/>
    </xf>
    <xf numFmtId="0" fontId="1" fillId="4" borderId="0" xfId="0" applyFont="1" applyFill="1">
      <alignment vertical="center"/>
    </xf>
    <xf numFmtId="0" fontId="1" fillId="4" borderId="0" xfId="0" quotePrefix="1" applyFont="1" applyFill="1" applyBorder="1" applyAlignment="1" applyProtection="1">
      <alignment horizontal="center"/>
      <protection hidden="1"/>
    </xf>
    <xf numFmtId="4" fontId="1" fillId="4" borderId="0" xfId="0" quotePrefix="1" applyNumberFormat="1" applyFont="1" applyFill="1" applyAlignment="1" applyProtection="1">
      <alignment horizontal="center"/>
      <protection hidden="1"/>
    </xf>
    <xf numFmtId="1" fontId="14" fillId="4" borderId="0" xfId="0" applyNumberFormat="1" applyFont="1" applyFill="1" applyBorder="1" applyAlignment="1" applyProtection="1">
      <alignment horizontal="left" vertical="top"/>
      <protection hidden="1"/>
    </xf>
    <xf numFmtId="0" fontId="2" fillId="4" borderId="0" xfId="0" applyFont="1" applyFill="1" applyAlignment="1">
      <alignment horizontal="right" vertical="center"/>
    </xf>
    <xf numFmtId="3" fontId="1" fillId="4" borderId="0" xfId="0" applyNumberFormat="1" applyFont="1" applyFill="1" applyBorder="1" applyAlignment="1" applyProtection="1">
      <alignment horizontal="center"/>
      <protection hidden="1"/>
    </xf>
    <xf numFmtId="0" fontId="1" fillId="4" borderId="0" xfId="0" applyNumberFormat="1" applyFont="1" applyFill="1" applyBorder="1" applyAlignment="1" applyProtection="1">
      <alignment horizontal="center"/>
      <protection hidden="1"/>
    </xf>
    <xf numFmtId="0" fontId="1" fillId="0" borderId="0" xfId="0" applyFont="1" applyFill="1" applyBorder="1" applyAlignment="1" applyProtection="1">
      <protection hidden="1"/>
    </xf>
    <xf numFmtId="0" fontId="9" fillId="0" borderId="0" xfId="0" applyFont="1" applyFill="1" applyBorder="1" applyAlignment="1">
      <alignment horizontal="left" vertical="center"/>
    </xf>
    <xf numFmtId="0" fontId="13" fillId="4" borderId="0" xfId="0" applyFont="1" applyFill="1" applyBorder="1">
      <alignment vertical="center"/>
    </xf>
    <xf numFmtId="0" fontId="4" fillId="4" borderId="0" xfId="0" applyFont="1" applyFill="1" applyBorder="1">
      <alignment vertical="center"/>
    </xf>
    <xf numFmtId="0" fontId="2" fillId="0" borderId="0" xfId="0" quotePrefix="1" applyFont="1" applyAlignment="1">
      <alignment horizontal="center" vertical="center"/>
    </xf>
    <xf numFmtId="184" fontId="1" fillId="0" borderId="0" xfId="0" applyNumberFormat="1" applyFont="1" applyFill="1" applyAlignment="1">
      <alignment horizontal="center" vertical="center"/>
    </xf>
    <xf numFmtId="2" fontId="1" fillId="0" borderId="0" xfId="0" applyNumberFormat="1" applyFont="1" applyFill="1" applyAlignment="1">
      <alignment horizontal="center" vertical="center"/>
    </xf>
    <xf numFmtId="0" fontId="1" fillId="4" borderId="15" xfId="0" applyFont="1" applyFill="1" applyBorder="1" applyAlignment="1" applyProtection="1">
      <alignment horizontal="center" shrinkToFit="1"/>
      <protection hidden="1"/>
    </xf>
    <xf numFmtId="0" fontId="1" fillId="4" borderId="8" xfId="0" applyFont="1" applyFill="1" applyBorder="1" applyAlignment="1" applyProtection="1">
      <alignment horizontal="center" shrinkToFit="1"/>
      <protection hidden="1"/>
    </xf>
    <xf numFmtId="0" fontId="1" fillId="4" borderId="14" xfId="0" applyFont="1" applyFill="1" applyBorder="1" applyAlignment="1" applyProtection="1">
      <alignment horizontal="center" shrinkToFit="1"/>
      <protection hidden="1"/>
    </xf>
    <xf numFmtId="0" fontId="1" fillId="4" borderId="17" xfId="0" applyFont="1" applyFill="1" applyBorder="1" applyAlignment="1" applyProtection="1">
      <alignment horizontal="center" shrinkToFit="1"/>
      <protection hidden="1"/>
    </xf>
    <xf numFmtId="0" fontId="1" fillId="4" borderId="7" xfId="0" applyFont="1" applyFill="1" applyBorder="1" applyAlignment="1" applyProtection="1">
      <alignment horizontal="center" shrinkToFit="1"/>
      <protection hidden="1"/>
    </xf>
    <xf numFmtId="0" fontId="1" fillId="4" borderId="16" xfId="0" applyFont="1" applyFill="1" applyBorder="1" applyAlignment="1" applyProtection="1">
      <alignment horizontal="center" shrinkToFit="1"/>
      <protection hidden="1"/>
    </xf>
    <xf numFmtId="0" fontId="1" fillId="4" borderId="18" xfId="0" applyFont="1" applyFill="1" applyBorder="1" applyAlignment="1" applyProtection="1">
      <alignment horizontal="center"/>
      <protection hidden="1"/>
    </xf>
    <xf numFmtId="0" fontId="1" fillId="4" borderId="21" xfId="0" applyFont="1" applyFill="1" applyBorder="1" applyAlignment="1" applyProtection="1">
      <alignment horizontal="center"/>
      <protection hidden="1"/>
    </xf>
    <xf numFmtId="0" fontId="1" fillId="4" borderId="4" xfId="0" applyFont="1" applyFill="1" applyBorder="1" applyAlignment="1" applyProtection="1">
      <alignment horizontal="center"/>
      <protection hidden="1"/>
    </xf>
    <xf numFmtId="177" fontId="1" fillId="4" borderId="0" xfId="0" applyNumberFormat="1" applyFont="1" applyFill="1" applyAlignment="1" applyProtection="1">
      <alignment horizontal="center" vertical="center"/>
      <protection hidden="1"/>
    </xf>
    <xf numFmtId="4" fontId="1" fillId="4" borderId="0" xfId="0" applyNumberFormat="1" applyFont="1" applyFill="1" applyAlignment="1" applyProtection="1">
      <alignment horizontal="center" vertical="center"/>
      <protection hidden="1"/>
    </xf>
    <xf numFmtId="0" fontId="1" fillId="4" borderId="0" xfId="0" applyFont="1" applyFill="1" applyAlignment="1" applyProtection="1">
      <alignment horizontal="center" vertical="center"/>
      <protection hidden="1"/>
    </xf>
    <xf numFmtId="2" fontId="1" fillId="4" borderId="0" xfId="0" applyNumberFormat="1" applyFont="1" applyFill="1" applyAlignment="1" applyProtection="1">
      <alignment horizontal="center" vertical="center"/>
      <protection hidden="1"/>
    </xf>
    <xf numFmtId="2" fontId="1" fillId="4" borderId="0" xfId="0" applyNumberFormat="1" applyFont="1" applyFill="1" applyBorder="1" applyAlignment="1" applyProtection="1">
      <alignment horizontal="center" vertical="center"/>
      <protection hidden="1"/>
    </xf>
    <xf numFmtId="0" fontId="1" fillId="4" borderId="0" xfId="0" applyFont="1" applyFill="1" applyBorder="1" applyAlignment="1" applyProtection="1">
      <alignment horizontal="center" vertical="center"/>
      <protection hidden="1"/>
    </xf>
    <xf numFmtId="2" fontId="1" fillId="4" borderId="18" xfId="0" applyNumberFormat="1" applyFont="1" applyFill="1" applyBorder="1" applyAlignment="1" applyProtection="1">
      <alignment horizontal="center" vertical="center"/>
      <protection hidden="1"/>
    </xf>
    <xf numFmtId="2" fontId="1" fillId="4" borderId="21" xfId="0" applyNumberFormat="1" applyFont="1" applyFill="1" applyBorder="1" applyAlignment="1" applyProtection="1">
      <alignment horizontal="center" vertical="center"/>
      <protection hidden="1"/>
    </xf>
    <xf numFmtId="4" fontId="1" fillId="4" borderId="4" xfId="0" applyNumberFormat="1" applyFont="1" applyFill="1" applyBorder="1" applyAlignment="1" applyProtection="1">
      <alignment horizontal="center"/>
      <protection hidden="1"/>
    </xf>
    <xf numFmtId="0" fontId="1" fillId="4" borderId="0" xfId="0" applyFont="1" applyFill="1" applyBorder="1" applyAlignment="1" applyProtection="1">
      <alignment horizontal="center"/>
      <protection hidden="1"/>
    </xf>
    <xf numFmtId="3" fontId="1" fillId="4" borderId="0" xfId="0" applyNumberFormat="1" applyFont="1" applyFill="1" applyBorder="1" applyAlignment="1" applyProtection="1">
      <alignment horizontal="center"/>
      <protection hidden="1"/>
    </xf>
    <xf numFmtId="2" fontId="1" fillId="4" borderId="0" xfId="0" applyNumberFormat="1" applyFont="1" applyFill="1" applyAlignment="1" applyProtection="1">
      <alignment horizontal="center"/>
      <protection hidden="1"/>
    </xf>
    <xf numFmtId="2" fontId="1" fillId="4" borderId="0" xfId="0" quotePrefix="1" applyNumberFormat="1" applyFont="1" applyFill="1" applyAlignment="1" applyProtection="1">
      <alignment horizontal="center"/>
      <protection hidden="1"/>
    </xf>
    <xf numFmtId="0" fontId="1" fillId="4" borderId="4" xfId="0" applyFont="1" applyFill="1" applyBorder="1" applyAlignment="1" applyProtection="1">
      <alignment horizontal="center" vertical="center" shrinkToFit="1"/>
      <protection hidden="1"/>
    </xf>
    <xf numFmtId="192" fontId="1" fillId="4" borderId="0" xfId="0" applyNumberFormat="1" applyFont="1" applyFill="1" applyBorder="1" applyAlignment="1" applyProtection="1">
      <alignment horizontal="center"/>
      <protection hidden="1"/>
    </xf>
    <xf numFmtId="192" fontId="1" fillId="4" borderId="0" xfId="0" applyNumberFormat="1" applyFont="1" applyFill="1" applyAlignment="1" applyProtection="1">
      <alignment horizontal="center"/>
      <protection hidden="1"/>
    </xf>
    <xf numFmtId="176" fontId="1" fillId="4" borderId="0" xfId="0" applyNumberFormat="1" applyFont="1" applyFill="1" applyBorder="1" applyAlignment="1" applyProtection="1">
      <alignment horizontal="center"/>
      <protection hidden="1"/>
    </xf>
    <xf numFmtId="182" fontId="1" fillId="4" borderId="0" xfId="0" applyNumberFormat="1" applyFont="1" applyFill="1" applyBorder="1" applyAlignment="1" applyProtection="1">
      <alignment horizontal="center"/>
      <protection hidden="1"/>
    </xf>
    <xf numFmtId="200" fontId="1" fillId="4" borderId="0" xfId="0" applyNumberFormat="1" applyFont="1" applyFill="1" applyBorder="1" applyAlignment="1" applyProtection="1">
      <alignment horizontal="center" vertical="center"/>
      <protection hidden="1"/>
    </xf>
    <xf numFmtId="0" fontId="1" fillId="4" borderId="18" xfId="0" applyFont="1" applyFill="1" applyBorder="1" applyAlignment="1" applyProtection="1">
      <alignment horizontal="center" vertical="center"/>
      <protection hidden="1"/>
    </xf>
    <xf numFmtId="0" fontId="1" fillId="4" borderId="21" xfId="0" applyFont="1" applyFill="1" applyBorder="1" applyAlignment="1" applyProtection="1">
      <alignment horizontal="center" vertical="center"/>
      <protection hidden="1"/>
    </xf>
    <xf numFmtId="195" fontId="1" fillId="4" borderId="0" xfId="0" applyNumberFormat="1" applyFont="1" applyFill="1" applyAlignment="1" applyProtection="1">
      <alignment horizontal="center"/>
      <protection hidden="1"/>
    </xf>
    <xf numFmtId="182" fontId="1" fillId="4" borderId="0" xfId="0" applyNumberFormat="1" applyFont="1" applyFill="1" applyAlignment="1" applyProtection="1">
      <alignment horizontal="center" vertical="center"/>
      <protection hidden="1"/>
    </xf>
    <xf numFmtId="0" fontId="1" fillId="4" borderId="0" xfId="0" applyFont="1" applyFill="1" applyAlignment="1" applyProtection="1">
      <alignment vertical="center"/>
      <protection hidden="1"/>
    </xf>
    <xf numFmtId="0" fontId="1" fillId="4" borderId="15" xfId="0" applyFont="1" applyFill="1" applyBorder="1" applyAlignment="1" applyProtection="1">
      <alignment horizontal="center"/>
      <protection hidden="1"/>
    </xf>
    <xf numFmtId="0" fontId="1" fillId="4" borderId="14" xfId="0" applyFont="1" applyFill="1" applyBorder="1" applyAlignment="1" applyProtection="1">
      <alignment horizontal="center"/>
      <protection hidden="1"/>
    </xf>
    <xf numFmtId="0" fontId="1" fillId="4" borderId="8" xfId="0" applyFont="1" applyFill="1" applyBorder="1" applyAlignment="1" applyProtection="1">
      <alignment horizontal="center"/>
      <protection hidden="1"/>
    </xf>
    <xf numFmtId="177" fontId="1" fillId="4" borderId="0" xfId="0" applyNumberFormat="1" applyFont="1" applyFill="1" applyAlignment="1" applyProtection="1">
      <alignment horizontal="center"/>
      <protection hidden="1"/>
    </xf>
    <xf numFmtId="0" fontId="1" fillId="4" borderId="7" xfId="0" applyFont="1" applyFill="1" applyBorder="1" applyAlignment="1" applyProtection="1">
      <alignment horizontal="center" vertical="center"/>
      <protection hidden="1"/>
    </xf>
    <xf numFmtId="0" fontId="9" fillId="4" borderId="17" xfId="0" applyFont="1" applyFill="1" applyBorder="1" applyAlignment="1" applyProtection="1">
      <alignment horizontal="center"/>
      <protection hidden="1"/>
    </xf>
    <xf numFmtId="0" fontId="1" fillId="4" borderId="16" xfId="0" applyFont="1" applyFill="1" applyBorder="1" applyAlignment="1" applyProtection="1">
      <alignment horizontal="center"/>
      <protection hidden="1"/>
    </xf>
    <xf numFmtId="0" fontId="1" fillId="4" borderId="19" xfId="0" applyFont="1" applyFill="1" applyBorder="1" applyAlignment="1" applyProtection="1">
      <alignment horizontal="center"/>
      <protection hidden="1"/>
    </xf>
    <xf numFmtId="0" fontId="1" fillId="4" borderId="0" xfId="0" applyFont="1" applyFill="1" applyAlignment="1" applyProtection="1">
      <alignment horizontal="center"/>
      <protection hidden="1"/>
    </xf>
    <xf numFmtId="0" fontId="1" fillId="4" borderId="20" xfId="0" applyFont="1" applyFill="1" applyBorder="1" applyAlignment="1" applyProtection="1">
      <alignment horizontal="center"/>
      <protection hidden="1"/>
    </xf>
    <xf numFmtId="202" fontId="1" fillId="4" borderId="17" xfId="0" applyNumberFormat="1" applyFont="1" applyFill="1" applyBorder="1" applyAlignment="1" applyProtection="1">
      <alignment horizontal="center"/>
      <protection hidden="1"/>
    </xf>
    <xf numFmtId="202" fontId="1" fillId="4" borderId="7" xfId="0" applyNumberFormat="1" applyFont="1" applyFill="1" applyBorder="1" applyAlignment="1" applyProtection="1">
      <alignment horizontal="center"/>
      <protection hidden="1"/>
    </xf>
    <xf numFmtId="190" fontId="1" fillId="4" borderId="17" xfId="0" applyNumberFormat="1" applyFont="1" applyFill="1" applyBorder="1" applyAlignment="1" applyProtection="1">
      <alignment horizontal="center"/>
      <protection hidden="1"/>
    </xf>
    <xf numFmtId="190" fontId="1" fillId="4" borderId="7" xfId="0" applyNumberFormat="1" applyFont="1" applyFill="1" applyBorder="1" applyAlignment="1" applyProtection="1">
      <alignment horizontal="center"/>
      <protection hidden="1"/>
    </xf>
    <xf numFmtId="190" fontId="1" fillId="4" borderId="16" xfId="0" applyNumberFormat="1" applyFont="1" applyFill="1" applyBorder="1" applyAlignment="1" applyProtection="1">
      <alignment horizontal="center"/>
      <protection hidden="1"/>
    </xf>
    <xf numFmtId="201" fontId="1" fillId="4" borderId="17" xfId="0" applyNumberFormat="1" applyFont="1" applyFill="1" applyBorder="1" applyAlignment="1" applyProtection="1">
      <alignment horizontal="center"/>
      <protection hidden="1"/>
    </xf>
    <xf numFmtId="201" fontId="1" fillId="4" borderId="7" xfId="0" applyNumberFormat="1" applyFont="1" applyFill="1" applyBorder="1" applyAlignment="1" applyProtection="1">
      <alignment horizontal="center"/>
      <protection hidden="1"/>
    </xf>
    <xf numFmtId="201" fontId="1" fillId="4" borderId="16" xfId="0" applyNumberFormat="1" applyFont="1" applyFill="1" applyBorder="1" applyAlignment="1" applyProtection="1">
      <alignment horizontal="center"/>
      <protection hidden="1"/>
    </xf>
    <xf numFmtId="2" fontId="1" fillId="4" borderId="0" xfId="0" applyNumberFormat="1" applyFont="1" applyFill="1" applyBorder="1" applyAlignment="1" applyProtection="1">
      <alignment horizontal="center"/>
      <protection hidden="1"/>
    </xf>
    <xf numFmtId="184" fontId="1" fillId="4" borderId="0" xfId="0" applyNumberFormat="1" applyFont="1" applyFill="1" applyAlignment="1" applyProtection="1">
      <alignment horizontal="center"/>
      <protection hidden="1"/>
    </xf>
    <xf numFmtId="0" fontId="1" fillId="4" borderId="0" xfId="0" quotePrefix="1" applyFont="1" applyFill="1" applyBorder="1" applyAlignment="1" applyProtection="1">
      <alignment horizontal="center" vertical="center"/>
      <protection hidden="1"/>
    </xf>
    <xf numFmtId="0" fontId="9" fillId="4" borderId="16" xfId="0" applyFont="1" applyFill="1" applyBorder="1" applyAlignment="1" applyProtection="1">
      <alignment horizontal="center"/>
      <protection hidden="1"/>
    </xf>
    <xf numFmtId="0" fontId="8" fillId="4" borderId="15" xfId="0" applyFont="1" applyFill="1" applyBorder="1" applyAlignment="1" applyProtection="1">
      <alignment horizontal="center" shrinkToFit="1"/>
      <protection hidden="1"/>
    </xf>
    <xf numFmtId="0" fontId="8" fillId="4" borderId="8" xfId="0" applyFont="1" applyFill="1" applyBorder="1" applyAlignment="1" applyProtection="1">
      <alignment horizontal="center" shrinkToFit="1"/>
      <protection hidden="1"/>
    </xf>
    <xf numFmtId="0" fontId="8" fillId="4" borderId="14" xfId="0" applyFont="1" applyFill="1" applyBorder="1" applyAlignment="1" applyProtection="1">
      <alignment horizontal="center" shrinkToFit="1"/>
      <protection hidden="1"/>
    </xf>
    <xf numFmtId="188" fontId="1" fillId="4" borderId="17" xfId="0" applyNumberFormat="1" applyFont="1" applyFill="1" applyBorder="1" applyAlignment="1" applyProtection="1">
      <alignment horizontal="center"/>
      <protection hidden="1"/>
    </xf>
    <xf numFmtId="188" fontId="1" fillId="4" borderId="7" xfId="0" applyNumberFormat="1" applyFont="1" applyFill="1" applyBorder="1" applyAlignment="1" applyProtection="1">
      <alignment horizontal="center"/>
      <protection hidden="1"/>
    </xf>
    <xf numFmtId="188" fontId="1" fillId="4" borderId="16" xfId="0" applyNumberFormat="1" applyFont="1" applyFill="1" applyBorder="1" applyAlignment="1" applyProtection="1">
      <alignment horizontal="center"/>
      <protection hidden="1"/>
    </xf>
    <xf numFmtId="200" fontId="1" fillId="4" borderId="0" xfId="0" applyNumberFormat="1" applyFont="1" applyFill="1" applyAlignment="1" applyProtection="1">
      <alignment horizontal="center"/>
      <protection hidden="1"/>
    </xf>
    <xf numFmtId="2" fontId="1" fillId="4" borderId="7" xfId="0" applyNumberFormat="1" applyFont="1" applyFill="1" applyBorder="1" applyAlignment="1" applyProtection="1">
      <alignment horizontal="center"/>
      <protection hidden="1"/>
    </xf>
    <xf numFmtId="4" fontId="1" fillId="4" borderId="0" xfId="0" applyNumberFormat="1" applyFont="1" applyFill="1" applyAlignment="1" applyProtection="1">
      <alignment horizontal="center"/>
      <protection hidden="1"/>
    </xf>
    <xf numFmtId="4" fontId="1" fillId="4" borderId="0" xfId="0" applyNumberFormat="1" applyFont="1" applyFill="1" applyAlignment="1" applyProtection="1">
      <alignment horizontal="distributed"/>
      <protection hidden="1"/>
    </xf>
    <xf numFmtId="0" fontId="1" fillId="4" borderId="0" xfId="0" applyFont="1" applyFill="1" applyBorder="1" applyAlignment="1" applyProtection="1">
      <alignment horizontal="center" vertical="top"/>
      <protection hidden="1"/>
    </xf>
    <xf numFmtId="0" fontId="1" fillId="4" borderId="0" xfId="0" applyNumberFormat="1" applyFont="1" applyFill="1" applyBorder="1" applyAlignment="1" applyProtection="1">
      <alignment horizontal="center" vertical="center"/>
      <protection hidden="1"/>
    </xf>
    <xf numFmtId="0" fontId="1" fillId="4" borderId="0" xfId="0" applyNumberFormat="1" applyFont="1" applyFill="1" applyBorder="1" applyAlignment="1" applyProtection="1">
      <alignment vertical="center"/>
      <protection hidden="1"/>
    </xf>
    <xf numFmtId="182" fontId="1" fillId="4" borderId="0" xfId="0" applyNumberFormat="1" applyFont="1" applyFill="1" applyAlignment="1" applyProtection="1">
      <alignment horizontal="center" vertical="center" shrinkToFit="1"/>
      <protection hidden="1"/>
    </xf>
    <xf numFmtId="195" fontId="1" fillId="4" borderId="0" xfId="0" applyNumberFormat="1" applyFont="1" applyFill="1" applyAlignment="1" applyProtection="1">
      <alignment horizontal="center" vertical="center"/>
      <protection hidden="1"/>
    </xf>
    <xf numFmtId="0" fontId="1" fillId="4" borderId="23" xfId="0" applyNumberFormat="1" applyFont="1" applyFill="1" applyBorder="1" applyAlignment="1" applyProtection="1">
      <alignment horizontal="center" shrinkToFit="1"/>
      <protection hidden="1"/>
    </xf>
    <xf numFmtId="182" fontId="1" fillId="4" borderId="23" xfId="0" applyNumberFormat="1" applyFont="1" applyFill="1" applyBorder="1" applyAlignment="1" applyProtection="1">
      <alignment horizontal="center"/>
      <protection hidden="1"/>
    </xf>
    <xf numFmtId="2" fontId="1" fillId="4" borderId="15" xfId="0" applyNumberFormat="1" applyFont="1" applyFill="1" applyBorder="1" applyAlignment="1" applyProtection="1">
      <alignment horizontal="center"/>
      <protection hidden="1"/>
    </xf>
    <xf numFmtId="2" fontId="1" fillId="4" borderId="8" xfId="0" applyNumberFormat="1" applyFont="1" applyFill="1" applyBorder="1" applyAlignment="1" applyProtection="1">
      <alignment horizontal="center"/>
      <protection hidden="1"/>
    </xf>
    <xf numFmtId="2" fontId="1" fillId="4" borderId="14" xfId="0" applyNumberFormat="1" applyFont="1" applyFill="1" applyBorder="1" applyAlignment="1" applyProtection="1">
      <alignment horizontal="center"/>
      <protection hidden="1"/>
    </xf>
    <xf numFmtId="182" fontId="1" fillId="4" borderId="23" xfId="0" applyNumberFormat="1" applyFont="1" applyFill="1" applyBorder="1" applyAlignment="1" applyProtection="1">
      <alignment horizontal="center" shrinkToFit="1"/>
      <protection hidden="1"/>
    </xf>
    <xf numFmtId="0" fontId="1" fillId="4" borderId="18" xfId="0" applyNumberFormat="1" applyFont="1" applyFill="1" applyBorder="1" applyAlignment="1" applyProtection="1">
      <alignment horizontal="center"/>
      <protection hidden="1"/>
    </xf>
    <xf numFmtId="0" fontId="1" fillId="4" borderId="12" xfId="0" applyNumberFormat="1" applyFont="1" applyFill="1" applyBorder="1" applyAlignment="1" applyProtection="1">
      <alignment horizontal="center"/>
      <protection hidden="1"/>
    </xf>
    <xf numFmtId="0" fontId="1" fillId="4" borderId="21" xfId="0" applyNumberFormat="1" applyFont="1" applyFill="1" applyBorder="1" applyAlignment="1" applyProtection="1">
      <alignment horizontal="center"/>
      <protection hidden="1"/>
    </xf>
    <xf numFmtId="192" fontId="1" fillId="4" borderId="7" xfId="0" applyNumberFormat="1" applyFont="1" applyFill="1" applyBorder="1" applyAlignment="1" applyProtection="1">
      <alignment horizontal="center" vertical="center"/>
      <protection hidden="1"/>
    </xf>
    <xf numFmtId="0" fontId="1" fillId="4" borderId="0" xfId="0" applyFont="1" applyFill="1" applyAlignment="1" applyProtection="1">
      <alignment horizontal="left" vertical="center"/>
      <protection hidden="1"/>
    </xf>
    <xf numFmtId="195" fontId="1" fillId="4" borderId="0" xfId="0" applyNumberFormat="1" applyFont="1" applyFill="1" applyAlignment="1" applyProtection="1">
      <alignment horizontal="left" vertical="center"/>
      <protection hidden="1"/>
    </xf>
    <xf numFmtId="0" fontId="1" fillId="4" borderId="0" xfId="0" quotePrefix="1" applyNumberFormat="1" applyFont="1" applyFill="1" applyBorder="1" applyAlignment="1" applyProtection="1">
      <alignment horizontal="center" vertical="center"/>
      <protection hidden="1"/>
    </xf>
    <xf numFmtId="0" fontId="1" fillId="4" borderId="0" xfId="0" applyNumberFormat="1" applyFont="1" applyFill="1" applyAlignment="1" applyProtection="1">
      <alignment horizontal="center" vertical="center"/>
      <protection hidden="1"/>
    </xf>
    <xf numFmtId="180" fontId="1" fillId="4" borderId="7" xfId="0" applyNumberFormat="1" applyFont="1" applyFill="1" applyBorder="1" applyAlignment="1" applyProtection="1">
      <alignment horizontal="center"/>
      <protection hidden="1"/>
    </xf>
    <xf numFmtId="0" fontId="1" fillId="4" borderId="0" xfId="0" quotePrefix="1" applyNumberFormat="1" applyFont="1" applyFill="1" applyAlignment="1" applyProtection="1">
      <alignment horizontal="center" vertical="center"/>
      <protection hidden="1"/>
    </xf>
    <xf numFmtId="177" fontId="1" fillId="4" borderId="7" xfId="0" applyNumberFormat="1" applyFont="1" applyFill="1" applyBorder="1" applyAlignment="1" applyProtection="1">
      <alignment horizontal="center" vertical="center"/>
      <protection hidden="1"/>
    </xf>
    <xf numFmtId="198" fontId="1" fillId="4" borderId="0" xfId="0" quotePrefix="1" applyNumberFormat="1" applyFont="1" applyFill="1" applyAlignment="1" applyProtection="1">
      <alignment horizontal="center" vertical="center" shrinkToFit="1"/>
      <protection hidden="1"/>
    </xf>
    <xf numFmtId="198" fontId="1" fillId="4" borderId="0" xfId="0" applyNumberFormat="1" applyFont="1" applyFill="1" applyAlignment="1" applyProtection="1">
      <alignment horizontal="center" vertical="center" shrinkToFit="1"/>
      <protection hidden="1"/>
    </xf>
    <xf numFmtId="195" fontId="1" fillId="4" borderId="0" xfId="0" applyNumberFormat="1" applyFont="1" applyFill="1" applyAlignment="1" applyProtection="1">
      <alignment horizontal="center" vertical="top"/>
      <protection hidden="1"/>
    </xf>
    <xf numFmtId="184" fontId="1" fillId="4" borderId="0" xfId="0" applyNumberFormat="1" applyFont="1" applyFill="1" applyAlignment="1" applyProtection="1">
      <alignment horizontal="center" vertical="top"/>
      <protection hidden="1"/>
    </xf>
    <xf numFmtId="184" fontId="1" fillId="4" borderId="7" xfId="0" applyNumberFormat="1" applyFont="1" applyFill="1" applyBorder="1" applyAlignment="1" applyProtection="1">
      <alignment horizontal="center"/>
      <protection hidden="1"/>
    </xf>
    <xf numFmtId="185" fontId="1" fillId="4" borderId="0" xfId="0" applyNumberFormat="1" applyFont="1" applyFill="1" applyAlignment="1" applyProtection="1">
      <alignment horizontal="center" vertical="center"/>
      <protection hidden="1"/>
    </xf>
    <xf numFmtId="185" fontId="1" fillId="4" borderId="0" xfId="0" applyNumberFormat="1" applyFont="1" applyFill="1" applyAlignment="1" applyProtection="1">
      <alignment horizontal="distributed" vertical="center"/>
      <protection hidden="1"/>
    </xf>
    <xf numFmtId="2" fontId="1" fillId="4" borderId="0" xfId="0" applyNumberFormat="1" applyFont="1" applyFill="1" applyAlignment="1" applyProtection="1">
      <alignment horizontal="center" vertical="top"/>
      <protection hidden="1"/>
    </xf>
    <xf numFmtId="0" fontId="1" fillId="4" borderId="7" xfId="0" applyNumberFormat="1" applyFont="1" applyFill="1" applyBorder="1" applyAlignment="1" applyProtection="1">
      <alignment horizontal="center" vertical="center"/>
      <protection hidden="1"/>
    </xf>
    <xf numFmtId="177" fontId="1" fillId="4" borderId="17" xfId="0" applyNumberFormat="1" applyFont="1" applyFill="1" applyBorder="1" applyAlignment="1" applyProtection="1">
      <alignment horizontal="center" vertical="center"/>
      <protection hidden="1"/>
    </xf>
    <xf numFmtId="177" fontId="1" fillId="4" borderId="16" xfId="0" applyNumberFormat="1" applyFont="1" applyFill="1" applyBorder="1" applyAlignment="1" applyProtection="1">
      <alignment horizontal="center" vertical="center"/>
      <protection hidden="1"/>
    </xf>
    <xf numFmtId="177" fontId="1" fillId="4" borderId="18" xfId="0" applyNumberFormat="1" applyFont="1" applyFill="1" applyBorder="1" applyAlignment="1" applyProtection="1">
      <alignment horizontal="center" vertical="center"/>
      <protection hidden="1"/>
    </xf>
    <xf numFmtId="177" fontId="1" fillId="4" borderId="12" xfId="0" applyNumberFormat="1" applyFont="1" applyFill="1" applyBorder="1" applyAlignment="1" applyProtection="1">
      <alignment horizontal="center" vertical="center"/>
      <protection hidden="1"/>
    </xf>
    <xf numFmtId="177" fontId="1" fillId="4" borderId="21" xfId="0" applyNumberFormat="1" applyFont="1" applyFill="1" applyBorder="1" applyAlignment="1" applyProtection="1">
      <alignment horizontal="center" vertical="center"/>
      <protection hidden="1"/>
    </xf>
    <xf numFmtId="0" fontId="1" fillId="4" borderId="0" xfId="0" applyFont="1" applyFill="1" applyBorder="1" applyAlignment="1" applyProtection="1">
      <alignment horizontal="left" vertical="center"/>
      <protection hidden="1"/>
    </xf>
    <xf numFmtId="197" fontId="1" fillId="4" borderId="4" xfId="0" applyNumberFormat="1" applyFont="1" applyFill="1" applyBorder="1" applyAlignment="1" applyProtection="1">
      <alignment horizontal="center" vertical="center"/>
      <protection hidden="1"/>
    </xf>
    <xf numFmtId="0" fontId="1" fillId="4" borderId="0" xfId="0" applyNumberFormat="1" applyFont="1" applyFill="1" applyAlignment="1" applyProtection="1">
      <alignment horizontal="left" vertical="center"/>
      <protection hidden="1"/>
    </xf>
    <xf numFmtId="192" fontId="1" fillId="4" borderId="0" xfId="0" applyNumberFormat="1" applyFont="1" applyFill="1" applyAlignment="1" applyProtection="1">
      <alignment horizontal="center" vertical="center"/>
      <protection hidden="1"/>
    </xf>
    <xf numFmtId="0" fontId="1" fillId="4" borderId="0" xfId="0" applyNumberFormat="1" applyFont="1" applyFill="1" applyAlignment="1" applyProtection="1">
      <alignment vertical="center"/>
      <protection hidden="1"/>
    </xf>
    <xf numFmtId="186" fontId="1" fillId="4" borderId="0" xfId="0" applyNumberFormat="1" applyFont="1" applyFill="1" applyBorder="1" applyAlignment="1" applyProtection="1">
      <alignment horizontal="center" vertical="center"/>
      <protection hidden="1"/>
    </xf>
    <xf numFmtId="186" fontId="1" fillId="4" borderId="0" xfId="0" applyNumberFormat="1" applyFont="1" applyFill="1" applyBorder="1" applyAlignment="1" applyProtection="1">
      <alignment horizontal="left" vertical="center"/>
      <protection hidden="1"/>
    </xf>
    <xf numFmtId="0" fontId="1" fillId="4" borderId="4" xfId="0" applyFont="1" applyFill="1" applyBorder="1" applyAlignment="1" applyProtection="1">
      <alignment horizontal="center" vertical="center"/>
      <protection hidden="1"/>
    </xf>
    <xf numFmtId="0" fontId="1" fillId="4" borderId="15" xfId="0" applyFont="1" applyFill="1" applyBorder="1" applyAlignment="1" applyProtection="1">
      <alignment horizontal="center" vertical="center" wrapText="1"/>
      <protection hidden="1"/>
    </xf>
    <xf numFmtId="0" fontId="1" fillId="4" borderId="8" xfId="0" applyFont="1" applyFill="1" applyBorder="1" applyAlignment="1" applyProtection="1">
      <alignment horizontal="center" vertical="center" wrapText="1"/>
      <protection hidden="1"/>
    </xf>
    <xf numFmtId="0" fontId="1" fillId="4" borderId="14" xfId="0" applyFont="1" applyFill="1" applyBorder="1" applyAlignment="1" applyProtection="1">
      <alignment horizontal="center" vertical="center" wrapText="1"/>
      <protection hidden="1"/>
    </xf>
    <xf numFmtId="0" fontId="1" fillId="4" borderId="17"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1" fillId="4" borderId="16" xfId="0" applyFont="1" applyFill="1" applyBorder="1" applyAlignment="1" applyProtection="1">
      <alignment horizontal="center" vertical="center" wrapText="1"/>
      <protection hidden="1"/>
    </xf>
    <xf numFmtId="192" fontId="1" fillId="4" borderId="18" xfId="0" applyNumberFormat="1" applyFont="1" applyFill="1" applyBorder="1" applyAlignment="1" applyProtection="1">
      <alignment horizontal="center"/>
      <protection hidden="1"/>
    </xf>
    <xf numFmtId="176" fontId="1" fillId="4" borderId="0" xfId="0" applyNumberFormat="1" applyFont="1" applyFill="1" applyAlignment="1" applyProtection="1">
      <alignment horizontal="center"/>
      <protection hidden="1"/>
    </xf>
    <xf numFmtId="182" fontId="1" fillId="4" borderId="0" xfId="0" applyNumberFormat="1" applyFont="1" applyFill="1" applyAlignment="1" applyProtection="1">
      <alignment horizontal="center"/>
      <protection hidden="1"/>
    </xf>
    <xf numFmtId="0" fontId="1" fillId="4" borderId="0" xfId="0" applyNumberFormat="1" applyFont="1" applyFill="1" applyAlignment="1" applyProtection="1">
      <alignment horizontal="center"/>
      <protection hidden="1"/>
    </xf>
    <xf numFmtId="2" fontId="1" fillId="4" borderId="0" xfId="0" applyNumberFormat="1" applyFont="1" applyFill="1" applyAlignment="1" applyProtection="1">
      <alignment horizontal="left" vertical="center"/>
      <protection hidden="1"/>
    </xf>
    <xf numFmtId="0" fontId="1" fillId="4" borderId="28" xfId="0" applyNumberFormat="1" applyFont="1" applyFill="1" applyBorder="1" applyAlignment="1" applyProtection="1">
      <alignment horizontal="center" shrinkToFit="1"/>
      <protection hidden="1"/>
    </xf>
    <xf numFmtId="182" fontId="1" fillId="4" borderId="28" xfId="0" applyNumberFormat="1" applyFont="1" applyFill="1" applyBorder="1" applyAlignment="1" applyProtection="1">
      <alignment horizontal="center"/>
      <protection hidden="1"/>
    </xf>
    <xf numFmtId="2" fontId="1" fillId="4" borderId="19" xfId="0" applyNumberFormat="1" applyFont="1" applyFill="1" applyBorder="1" applyAlignment="1" applyProtection="1">
      <alignment horizontal="center"/>
      <protection hidden="1"/>
    </xf>
    <xf numFmtId="2" fontId="1" fillId="4" borderId="20" xfId="0" applyNumberFormat="1" applyFont="1" applyFill="1" applyBorder="1" applyAlignment="1" applyProtection="1">
      <alignment horizontal="center"/>
      <protection hidden="1"/>
    </xf>
    <xf numFmtId="182" fontId="1" fillId="4" borderId="28" xfId="0" applyNumberFormat="1" applyFont="1" applyFill="1" applyBorder="1" applyAlignment="1" applyProtection="1">
      <alignment horizontal="center" shrinkToFit="1"/>
      <protection hidden="1"/>
    </xf>
    <xf numFmtId="0" fontId="1" fillId="4" borderId="28" xfId="0" applyFont="1" applyFill="1" applyBorder="1" applyAlignment="1" applyProtection="1">
      <alignment horizontal="left" shrinkToFit="1"/>
      <protection hidden="1"/>
    </xf>
    <xf numFmtId="182" fontId="1" fillId="4" borderId="4" xfId="0" applyNumberFormat="1" applyFont="1" applyFill="1" applyBorder="1" applyAlignment="1" applyProtection="1">
      <alignment horizontal="center"/>
      <protection hidden="1"/>
    </xf>
    <xf numFmtId="182" fontId="1" fillId="4" borderId="4" xfId="0" applyNumberFormat="1" applyFont="1" applyFill="1" applyBorder="1" applyAlignment="1" applyProtection="1">
      <alignment horizontal="center" shrinkToFit="1"/>
      <protection hidden="1"/>
    </xf>
    <xf numFmtId="0" fontId="1" fillId="4" borderId="4" xfId="0" applyFont="1" applyFill="1" applyBorder="1" applyAlignment="1" applyProtection="1">
      <alignment horizontal="center" shrinkToFit="1"/>
      <protection hidden="1"/>
    </xf>
    <xf numFmtId="0" fontId="1" fillId="4" borderId="23" xfId="0" applyFont="1" applyFill="1" applyBorder="1" applyAlignment="1" applyProtection="1">
      <alignment horizontal="left" shrinkToFit="1"/>
      <protection hidden="1"/>
    </xf>
    <xf numFmtId="200" fontId="1" fillId="4" borderId="0" xfId="0" applyNumberFormat="1" applyFont="1" applyFill="1" applyAlignment="1" applyProtection="1">
      <alignment horizontal="center" vertical="center"/>
      <protection hidden="1"/>
    </xf>
    <xf numFmtId="0" fontId="1" fillId="4" borderId="4" xfId="0" applyNumberFormat="1" applyFont="1" applyFill="1" applyBorder="1" applyAlignment="1" applyProtection="1">
      <alignment horizontal="center" wrapText="1"/>
      <protection hidden="1"/>
    </xf>
    <xf numFmtId="0" fontId="1" fillId="4" borderId="4" xfId="0" applyNumberFormat="1" applyFont="1" applyFill="1" applyBorder="1" applyAlignment="1" applyProtection="1">
      <alignment horizontal="center"/>
      <protection hidden="1"/>
    </xf>
    <xf numFmtId="0" fontId="1" fillId="4" borderId="4" xfId="0" applyNumberFormat="1" applyFont="1" applyFill="1" applyBorder="1" applyAlignment="1" applyProtection="1">
      <alignment horizontal="center" shrinkToFit="1"/>
      <protection hidden="1"/>
    </xf>
    <xf numFmtId="200" fontId="1" fillId="4" borderId="4" xfId="0" applyNumberFormat="1" applyFont="1" applyFill="1" applyBorder="1" applyAlignment="1" applyProtection="1">
      <alignment horizontal="center"/>
      <protection hidden="1"/>
    </xf>
    <xf numFmtId="200" fontId="1" fillId="4" borderId="28" xfId="0" applyNumberFormat="1" applyFont="1" applyFill="1" applyBorder="1" applyAlignment="1" applyProtection="1">
      <alignment horizontal="center"/>
      <protection hidden="1"/>
    </xf>
    <xf numFmtId="200" fontId="1" fillId="4" borderId="23" xfId="0" applyNumberFormat="1" applyFont="1" applyFill="1" applyBorder="1" applyAlignment="1" applyProtection="1">
      <alignment horizontal="center"/>
      <protection hidden="1"/>
    </xf>
    <xf numFmtId="189" fontId="1" fillId="4" borderId="0" xfId="0" applyNumberFormat="1" applyFont="1" applyFill="1" applyAlignment="1" applyProtection="1">
      <alignment horizontal="center"/>
      <protection hidden="1"/>
    </xf>
    <xf numFmtId="2" fontId="1" fillId="0" borderId="7" xfId="0" applyNumberFormat="1" applyFont="1" applyFill="1" applyBorder="1" applyAlignment="1">
      <alignment horizontal="center"/>
    </xf>
    <xf numFmtId="0" fontId="2" fillId="0" borderId="0" xfId="0" quotePrefix="1" applyFont="1" applyAlignment="1">
      <alignment horizontal="center" vertical="center"/>
    </xf>
    <xf numFmtId="192" fontId="1" fillId="4" borderId="0" xfId="0" applyNumberFormat="1" applyFont="1" applyFill="1" applyBorder="1" applyAlignment="1" applyProtection="1">
      <alignment horizontal="center"/>
    </xf>
    <xf numFmtId="177" fontId="1" fillId="4" borderId="0" xfId="0" applyNumberFormat="1" applyFont="1" applyFill="1" applyBorder="1" applyAlignment="1" applyProtection="1">
      <alignment horizontal="center"/>
    </xf>
    <xf numFmtId="177" fontId="1" fillId="4" borderId="0" xfId="0" applyNumberFormat="1" applyFont="1" applyFill="1" applyBorder="1" applyAlignment="1">
      <alignment horizontal="center" vertical="center"/>
    </xf>
    <xf numFmtId="2" fontId="1" fillId="3" borderId="0" xfId="0" applyNumberFormat="1" applyFont="1" applyFill="1" applyBorder="1" applyAlignment="1" applyProtection="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7" xfId="0" applyFont="1" applyFill="1" applyBorder="1" applyAlignment="1">
      <alignment horizontal="center" vertical="center"/>
    </xf>
    <xf numFmtId="180" fontId="2" fillId="0" borderId="8" xfId="0" applyNumberFormat="1" applyFont="1" applyFill="1" applyBorder="1" applyAlignment="1">
      <alignment horizontal="center" vertical="center"/>
    </xf>
    <xf numFmtId="184" fontId="1" fillId="0" borderId="0" xfId="0" applyNumberFormat="1" applyFont="1" applyFill="1" applyAlignment="1">
      <alignment horizontal="center" vertical="center"/>
    </xf>
    <xf numFmtId="2" fontId="1" fillId="0" borderId="7" xfId="0" applyNumberFormat="1" applyFont="1" applyFill="1" applyBorder="1" applyAlignment="1">
      <alignment horizontal="center" vertical="center"/>
    </xf>
    <xf numFmtId="196" fontId="1" fillId="0" borderId="0" xfId="0" applyNumberFormat="1" applyFont="1" applyFill="1" applyAlignment="1">
      <alignment horizontal="center"/>
    </xf>
    <xf numFmtId="193" fontId="1" fillId="0" borderId="18" xfId="0" applyNumberFormat="1" applyFont="1" applyFill="1" applyBorder="1" applyAlignment="1">
      <alignment horizontal="center"/>
    </xf>
    <xf numFmtId="193" fontId="1" fillId="0" borderId="21" xfId="0" applyNumberFormat="1" applyFont="1" applyFill="1" applyBorder="1" applyAlignment="1">
      <alignment horizontal="center"/>
    </xf>
    <xf numFmtId="0" fontId="1" fillId="0" borderId="18" xfId="0" applyFont="1" applyFill="1" applyBorder="1" applyAlignment="1">
      <alignment horizontal="center" vertical="center"/>
    </xf>
    <xf numFmtId="0" fontId="1" fillId="0" borderId="21" xfId="0" applyFont="1" applyFill="1" applyBorder="1" applyAlignment="1">
      <alignment horizontal="center" vertical="center"/>
    </xf>
    <xf numFmtId="2" fontId="1" fillId="0" borderId="0" xfId="0" applyNumberFormat="1" applyFont="1" applyFill="1" applyAlignment="1">
      <alignment horizontal="center" vertical="center"/>
    </xf>
    <xf numFmtId="192" fontId="2" fillId="0" borderId="0" xfId="0" applyNumberFormat="1" applyFont="1" applyAlignment="1">
      <alignment horizontal="center" vertical="center"/>
    </xf>
    <xf numFmtId="180" fontId="2" fillId="4" borderId="15" xfId="0" applyNumberFormat="1" applyFont="1" applyFill="1" applyBorder="1" applyAlignment="1">
      <alignment horizontal="center" vertical="center"/>
    </xf>
    <xf numFmtId="180" fontId="2" fillId="4" borderId="14" xfId="0" applyNumberFormat="1"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6" xfId="0" applyFont="1" applyFill="1" applyBorder="1" applyAlignment="1">
      <alignment horizontal="center" vertical="center" wrapText="1"/>
    </xf>
    <xf numFmtId="177" fontId="2" fillId="3" borderId="0"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1" fillId="4" borderId="17" xfId="0" applyFont="1" applyFill="1" applyBorder="1" applyAlignment="1" applyProtection="1">
      <alignment horizontal="center" vertical="center"/>
    </xf>
    <xf numFmtId="0" fontId="1" fillId="4" borderId="16" xfId="0" applyFont="1" applyFill="1" applyBorder="1" applyAlignment="1" applyProtection="1">
      <alignment horizontal="center" vertical="center"/>
    </xf>
    <xf numFmtId="0" fontId="2" fillId="2" borderId="18" xfId="0" applyFont="1" applyFill="1" applyBorder="1" applyAlignment="1" applyProtection="1">
      <alignment horizontal="left" vertical="center" shrinkToFit="1"/>
      <protection locked="0"/>
    </xf>
    <xf numFmtId="0" fontId="2" fillId="2" borderId="12" xfId="0" applyFont="1" applyFill="1" applyBorder="1" applyAlignment="1" applyProtection="1">
      <alignment horizontal="left" vertical="center" shrinkToFit="1"/>
      <protection locked="0"/>
    </xf>
    <xf numFmtId="0" fontId="2" fillId="2" borderId="21" xfId="0" applyFont="1" applyFill="1" applyBorder="1" applyAlignment="1" applyProtection="1">
      <alignment horizontal="left" vertical="center" shrinkToFit="1"/>
      <protection locked="0"/>
    </xf>
    <xf numFmtId="2" fontId="1" fillId="4" borderId="0" xfId="0" applyNumberFormat="1" applyFont="1" applyFill="1" applyBorder="1" applyAlignment="1">
      <alignment horizontal="center"/>
    </xf>
    <xf numFmtId="177" fontId="1" fillId="3" borderId="0" xfId="0" applyNumberFormat="1" applyFont="1" applyFill="1" applyBorder="1" applyAlignment="1" applyProtection="1">
      <alignment horizontal="center" vertical="center"/>
      <protection locked="0"/>
    </xf>
    <xf numFmtId="176" fontId="1" fillId="3" borderId="0" xfId="0" applyNumberFormat="1" applyFont="1" applyFill="1" applyBorder="1" applyAlignment="1" applyProtection="1">
      <alignment horizontal="center"/>
      <protection locked="0"/>
    </xf>
    <xf numFmtId="0" fontId="2" fillId="4" borderId="15"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4" xfId="0" applyFont="1" applyFill="1" applyBorder="1" applyAlignment="1">
      <alignment horizontal="center" vertical="center"/>
    </xf>
    <xf numFmtId="0" fontId="1" fillId="0" borderId="7" xfId="0" applyFont="1" applyFill="1" applyBorder="1" applyAlignment="1">
      <alignment horizontal="center" vertical="center" wrapText="1"/>
    </xf>
    <xf numFmtId="194" fontId="2" fillId="3" borderId="18" xfId="0" applyNumberFormat="1" applyFont="1" applyFill="1" applyBorder="1" applyAlignment="1" applyProtection="1">
      <alignment horizontal="center" vertical="center"/>
      <protection locked="0"/>
    </xf>
    <xf numFmtId="194" fontId="2" fillId="3" borderId="12" xfId="0" applyNumberFormat="1" applyFont="1" applyFill="1" applyBorder="1" applyAlignment="1" applyProtection="1">
      <alignment horizontal="center" vertical="center"/>
      <protection locked="0"/>
    </xf>
    <xf numFmtId="194" fontId="2" fillId="3" borderId="21" xfId="0" applyNumberFormat="1" applyFont="1" applyFill="1" applyBorder="1" applyAlignment="1" applyProtection="1">
      <alignment horizontal="center" vertical="center"/>
      <protection locked="0"/>
    </xf>
    <xf numFmtId="177" fontId="2" fillId="3" borderId="17" xfId="0" applyNumberFormat="1" applyFont="1" applyFill="1" applyBorder="1" applyAlignment="1" applyProtection="1">
      <alignment horizontal="center" vertical="center"/>
      <protection locked="0"/>
    </xf>
    <xf numFmtId="177" fontId="2" fillId="3" borderId="7" xfId="0" applyNumberFormat="1" applyFont="1" applyFill="1" applyBorder="1" applyAlignment="1" applyProtection="1">
      <alignment horizontal="center" vertical="center"/>
      <protection locked="0"/>
    </xf>
    <xf numFmtId="177" fontId="2" fillId="3" borderId="16" xfId="0" applyNumberFormat="1"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left" vertical="center" shrinkToFit="1"/>
      <protection locked="0"/>
    </xf>
    <xf numFmtId="0" fontId="1" fillId="2" borderId="7" xfId="0" applyFont="1" applyFill="1" applyBorder="1" applyAlignment="1" applyProtection="1">
      <alignment horizontal="left" vertical="center" shrinkToFit="1"/>
      <protection locked="0"/>
    </xf>
    <xf numFmtId="0" fontId="1" fillId="2" borderId="16" xfId="0" applyFont="1" applyFill="1" applyBorder="1" applyAlignment="1" applyProtection="1">
      <alignment horizontal="left" vertical="center" shrinkToFit="1"/>
      <protection locked="0"/>
    </xf>
    <xf numFmtId="187" fontId="1" fillId="3" borderId="17" xfId="0" applyNumberFormat="1" applyFont="1" applyFill="1" applyBorder="1" applyAlignment="1" applyProtection="1">
      <alignment horizontal="right" vertical="center"/>
      <protection locked="0"/>
    </xf>
    <xf numFmtId="187" fontId="1" fillId="3" borderId="7" xfId="0" applyNumberFormat="1" applyFont="1" applyFill="1" applyBorder="1" applyAlignment="1" applyProtection="1">
      <alignment horizontal="right" vertical="center"/>
      <protection locked="0"/>
    </xf>
    <xf numFmtId="187" fontId="1" fillId="3" borderId="16" xfId="0" applyNumberFormat="1" applyFont="1" applyFill="1" applyBorder="1" applyAlignment="1" applyProtection="1">
      <alignment horizontal="right" vertical="center"/>
      <protection locked="0"/>
    </xf>
    <xf numFmtId="2" fontId="1" fillId="4" borderId="17" xfId="0" applyNumberFormat="1" applyFont="1" applyFill="1" applyBorder="1" applyAlignment="1">
      <alignment horizontal="center" vertical="center"/>
    </xf>
    <xf numFmtId="2" fontId="1" fillId="4" borderId="16" xfId="0" applyNumberFormat="1" applyFont="1" applyFill="1" applyBorder="1" applyAlignment="1">
      <alignment horizontal="center" vertical="center"/>
    </xf>
    <xf numFmtId="2" fontId="1" fillId="4" borderId="17" xfId="0" applyNumberFormat="1" applyFont="1" applyFill="1" applyBorder="1" applyAlignment="1">
      <alignment horizontal="right" vertical="center"/>
    </xf>
    <xf numFmtId="2" fontId="1" fillId="4" borderId="16" xfId="0" applyNumberFormat="1" applyFont="1" applyFill="1" applyBorder="1" applyAlignment="1">
      <alignment horizontal="right" vertical="center"/>
    </xf>
    <xf numFmtId="0" fontId="2" fillId="3" borderId="17"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1" fillId="4" borderId="18"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21" xfId="0" applyFont="1" applyFill="1" applyBorder="1" applyAlignment="1">
      <alignment horizontal="center" vertical="center"/>
    </xf>
    <xf numFmtId="187" fontId="1" fillId="4" borderId="18" xfId="0" applyNumberFormat="1" applyFont="1" applyFill="1" applyBorder="1" applyAlignment="1" applyProtection="1">
      <alignment horizontal="right" vertical="center"/>
    </xf>
    <xf numFmtId="187" fontId="1" fillId="4" borderId="12" xfId="0" applyNumberFormat="1" applyFont="1" applyFill="1" applyBorder="1" applyAlignment="1" applyProtection="1">
      <alignment horizontal="right" vertical="center"/>
    </xf>
    <xf numFmtId="187" fontId="1" fillId="4" borderId="21" xfId="0" applyNumberFormat="1" applyFont="1" applyFill="1" applyBorder="1" applyAlignment="1" applyProtection="1">
      <alignment horizontal="right" vertical="center"/>
    </xf>
    <xf numFmtId="2" fontId="1" fillId="4" borderId="18" xfId="0" applyNumberFormat="1" applyFont="1" applyFill="1" applyBorder="1" applyAlignment="1">
      <alignment horizontal="right" vertical="center"/>
    </xf>
    <xf numFmtId="2" fontId="1" fillId="4" borderId="21" xfId="0" applyNumberFormat="1" applyFont="1" applyFill="1" applyBorder="1" applyAlignment="1">
      <alignment horizontal="right" vertical="center"/>
    </xf>
    <xf numFmtId="0" fontId="2" fillId="4" borderId="18"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1" xfId="0" applyFont="1" applyFill="1" applyBorder="1" applyAlignment="1">
      <alignment horizontal="center" vertical="center"/>
    </xf>
    <xf numFmtId="0" fontId="1" fillId="2" borderId="15" xfId="0" applyFont="1" applyFill="1" applyBorder="1" applyAlignment="1" applyProtection="1">
      <alignment horizontal="left" vertical="center" shrinkToFit="1"/>
      <protection locked="0"/>
    </xf>
    <xf numFmtId="0" fontId="1" fillId="2" borderId="8" xfId="0" applyFont="1" applyFill="1" applyBorder="1" applyAlignment="1" applyProtection="1">
      <alignment horizontal="left" vertical="center" shrinkToFit="1"/>
      <protection locked="0"/>
    </xf>
    <xf numFmtId="0" fontId="1" fillId="2" borderId="14" xfId="0" applyFont="1" applyFill="1" applyBorder="1" applyAlignment="1" applyProtection="1">
      <alignment horizontal="left" vertical="center" shrinkToFit="1"/>
      <protection locked="0"/>
    </xf>
    <xf numFmtId="187" fontId="1" fillId="3" borderId="15" xfId="0" applyNumberFormat="1" applyFont="1" applyFill="1" applyBorder="1" applyAlignment="1" applyProtection="1">
      <alignment horizontal="right" vertical="center"/>
      <protection locked="0"/>
    </xf>
    <xf numFmtId="187" fontId="1" fillId="3" borderId="8" xfId="0" applyNumberFormat="1" applyFont="1" applyFill="1" applyBorder="1" applyAlignment="1" applyProtection="1">
      <alignment horizontal="right" vertical="center"/>
      <protection locked="0"/>
    </xf>
    <xf numFmtId="187" fontId="1" fillId="3" borderId="14" xfId="0" applyNumberFormat="1" applyFont="1" applyFill="1" applyBorder="1" applyAlignment="1" applyProtection="1">
      <alignment horizontal="right" vertical="center"/>
      <protection locked="0"/>
    </xf>
    <xf numFmtId="2" fontId="1" fillId="4" borderId="15" xfId="0" applyNumberFormat="1" applyFont="1" applyFill="1" applyBorder="1" applyAlignment="1">
      <alignment horizontal="center" vertical="center"/>
    </xf>
    <xf numFmtId="2" fontId="1" fillId="4" borderId="8" xfId="0" applyNumberFormat="1" applyFont="1" applyFill="1" applyBorder="1" applyAlignment="1">
      <alignment horizontal="center" vertical="center"/>
    </xf>
    <xf numFmtId="2" fontId="1" fillId="4" borderId="15" xfId="0" applyNumberFormat="1" applyFont="1" applyFill="1" applyBorder="1" applyAlignment="1">
      <alignment horizontal="right" vertical="center"/>
    </xf>
    <xf numFmtId="2" fontId="1" fillId="4" borderId="14" xfId="0" applyNumberFormat="1" applyFont="1" applyFill="1" applyBorder="1" applyAlignment="1">
      <alignment horizontal="right" vertical="center"/>
    </xf>
    <xf numFmtId="0" fontId="2" fillId="3" borderId="15"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shrinkToFit="1"/>
      <protection locked="0"/>
    </xf>
    <xf numFmtId="0" fontId="1" fillId="2" borderId="0" xfId="0" applyFont="1" applyFill="1" applyBorder="1" applyAlignment="1" applyProtection="1">
      <alignment horizontal="left" vertical="center" shrinkToFit="1"/>
      <protection locked="0"/>
    </xf>
    <xf numFmtId="0" fontId="1" fillId="2" borderId="20" xfId="0" applyFont="1" applyFill="1" applyBorder="1" applyAlignment="1" applyProtection="1">
      <alignment horizontal="left" vertical="center" shrinkToFit="1"/>
      <protection locked="0"/>
    </xf>
    <xf numFmtId="187" fontId="1" fillId="3" borderId="19" xfId="0" applyNumberFormat="1" applyFont="1" applyFill="1" applyBorder="1" applyAlignment="1" applyProtection="1">
      <alignment horizontal="right" vertical="center"/>
      <protection locked="0"/>
    </xf>
    <xf numFmtId="187" fontId="1" fillId="3" borderId="0" xfId="0" applyNumberFormat="1" applyFont="1" applyFill="1" applyBorder="1" applyAlignment="1" applyProtection="1">
      <alignment horizontal="right" vertical="center"/>
      <protection locked="0"/>
    </xf>
    <xf numFmtId="187" fontId="1" fillId="3" borderId="20" xfId="0" applyNumberFormat="1" applyFont="1" applyFill="1" applyBorder="1" applyAlignment="1" applyProtection="1">
      <alignment horizontal="right" vertical="center"/>
      <protection locked="0"/>
    </xf>
    <xf numFmtId="2" fontId="1" fillId="4" borderId="19" xfId="0" applyNumberFormat="1" applyFont="1" applyFill="1" applyBorder="1" applyAlignment="1">
      <alignment horizontal="center" vertical="center"/>
    </xf>
    <xf numFmtId="2" fontId="1" fillId="4" borderId="20" xfId="0" applyNumberFormat="1" applyFont="1" applyFill="1" applyBorder="1" applyAlignment="1">
      <alignment horizontal="center" vertical="center"/>
    </xf>
    <xf numFmtId="2" fontId="1" fillId="4" borderId="19" xfId="0" applyNumberFormat="1" applyFont="1" applyFill="1" applyBorder="1" applyAlignment="1">
      <alignment horizontal="right" vertical="center"/>
    </xf>
    <xf numFmtId="2" fontId="1" fillId="4" borderId="20" xfId="0" applyNumberFormat="1" applyFont="1" applyFill="1" applyBorder="1" applyAlignment="1">
      <alignment horizontal="right" vertical="center"/>
    </xf>
    <xf numFmtId="0" fontId="2" fillId="3" borderId="19"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20" xfId="0" applyFont="1" applyFill="1" applyBorder="1" applyAlignment="1" applyProtection="1">
      <alignment horizontal="left" vertical="center"/>
      <protection locked="0"/>
    </xf>
    <xf numFmtId="184" fontId="1" fillId="4" borderId="19" xfId="0" applyNumberFormat="1" applyFont="1" applyFill="1" applyBorder="1" applyAlignment="1">
      <alignment horizontal="right" vertical="center"/>
    </xf>
    <xf numFmtId="184" fontId="1" fillId="4" borderId="20" xfId="0" applyNumberFormat="1" applyFont="1" applyFill="1" applyBorder="1" applyAlignment="1">
      <alignment horizontal="right" vertical="center"/>
    </xf>
    <xf numFmtId="2" fontId="1" fillId="4" borderId="12" xfId="0" applyNumberFormat="1" applyFont="1" applyFill="1" applyBorder="1" applyAlignment="1">
      <alignment horizontal="center" vertical="center"/>
    </xf>
    <xf numFmtId="0" fontId="2" fillId="4" borderId="18"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21" xfId="0" applyFont="1" applyFill="1" applyBorder="1" applyAlignment="1">
      <alignment horizontal="center" vertical="center" shrinkToFit="1"/>
    </xf>
    <xf numFmtId="184" fontId="1" fillId="4" borderId="18" xfId="0" applyNumberFormat="1" applyFont="1" applyFill="1" applyBorder="1" applyAlignment="1">
      <alignment horizontal="right" vertical="center"/>
    </xf>
    <xf numFmtId="184" fontId="1" fillId="4" borderId="21" xfId="0" applyNumberFormat="1" applyFont="1" applyFill="1" applyBorder="1" applyAlignment="1">
      <alignment horizontal="right" vertical="center"/>
    </xf>
    <xf numFmtId="0" fontId="2" fillId="4" borderId="18" xfId="0" applyFont="1" applyFill="1" applyBorder="1" applyAlignment="1">
      <alignment horizontal="left" vertical="center"/>
    </xf>
    <xf numFmtId="0" fontId="2" fillId="4" borderId="12" xfId="0" applyFont="1" applyFill="1" applyBorder="1" applyAlignment="1">
      <alignment horizontal="left" vertical="center"/>
    </xf>
    <xf numFmtId="0" fontId="2" fillId="4" borderId="21" xfId="0" applyFont="1" applyFill="1" applyBorder="1" applyAlignment="1">
      <alignment horizontal="left" vertical="center"/>
    </xf>
    <xf numFmtId="0" fontId="3" fillId="3" borderId="19"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20" xfId="0" applyFont="1" applyFill="1" applyBorder="1" applyAlignment="1" applyProtection="1">
      <alignment horizontal="left" vertical="center"/>
      <protection locked="0"/>
    </xf>
    <xf numFmtId="2" fontId="1" fillId="4" borderId="7" xfId="0" applyNumberFormat="1" applyFont="1" applyFill="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184" fontId="1" fillId="4" borderId="15" xfId="0" applyNumberFormat="1" applyFont="1" applyFill="1" applyBorder="1" applyAlignment="1">
      <alignment horizontal="right" vertical="center"/>
    </xf>
    <xf numFmtId="184" fontId="1" fillId="4" borderId="14" xfId="0" applyNumberFormat="1" applyFont="1" applyFill="1" applyBorder="1" applyAlignment="1">
      <alignment horizontal="right" vertical="center"/>
    </xf>
    <xf numFmtId="2" fontId="1" fillId="4" borderId="7" xfId="0" applyNumberFormat="1"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2" fillId="4" borderId="12" xfId="0" applyFont="1" applyFill="1" applyBorder="1" applyAlignment="1" applyProtection="1">
      <alignment horizontal="center" vertical="center"/>
    </xf>
    <xf numFmtId="0" fontId="2" fillId="4" borderId="21" xfId="0" applyFont="1" applyFill="1" applyBorder="1" applyAlignment="1" applyProtection="1">
      <alignment horizontal="center" vertical="center"/>
    </xf>
    <xf numFmtId="0" fontId="1" fillId="8" borderId="15" xfId="0" applyFont="1" applyFill="1" applyBorder="1" applyAlignment="1" applyProtection="1">
      <alignment horizontal="left" vertical="center" shrinkToFit="1"/>
    </xf>
    <xf numFmtId="0" fontId="1" fillId="8" borderId="8" xfId="0" applyFont="1" applyFill="1" applyBorder="1" applyAlignment="1" applyProtection="1">
      <alignment horizontal="left" vertical="center" shrinkToFit="1"/>
    </xf>
    <xf numFmtId="0" fontId="1" fillId="8" borderId="14" xfId="0" applyFont="1" applyFill="1" applyBorder="1" applyAlignment="1" applyProtection="1">
      <alignment horizontal="left" vertical="center" shrinkToFit="1"/>
    </xf>
    <xf numFmtId="187" fontId="1" fillId="8" borderId="15" xfId="0" applyNumberFormat="1" applyFont="1" applyFill="1" applyBorder="1" applyAlignment="1" applyProtection="1">
      <alignment horizontal="right" vertical="center"/>
    </xf>
    <xf numFmtId="187" fontId="1" fillId="8" borderId="8" xfId="0" applyNumberFormat="1" applyFont="1" applyFill="1" applyBorder="1" applyAlignment="1" applyProtection="1">
      <alignment horizontal="right" vertical="center"/>
    </xf>
    <xf numFmtId="187" fontId="1" fillId="8" borderId="14" xfId="0" applyNumberFormat="1" applyFont="1" applyFill="1" applyBorder="1" applyAlignment="1" applyProtection="1">
      <alignment horizontal="right" vertical="center"/>
    </xf>
    <xf numFmtId="2" fontId="1" fillId="4" borderId="15" xfId="0" applyNumberFormat="1" applyFont="1" applyFill="1" applyBorder="1" applyAlignment="1" applyProtection="1">
      <alignment horizontal="center" vertical="center"/>
    </xf>
    <xf numFmtId="2" fontId="1" fillId="4" borderId="8" xfId="0" applyNumberFormat="1" applyFont="1" applyFill="1" applyBorder="1" applyAlignment="1" applyProtection="1">
      <alignment horizontal="center" vertical="center"/>
    </xf>
    <xf numFmtId="184" fontId="1" fillId="4" borderId="15" xfId="0" applyNumberFormat="1" applyFont="1" applyFill="1" applyBorder="1" applyAlignment="1" applyProtection="1">
      <alignment horizontal="right" vertical="center"/>
    </xf>
    <xf numFmtId="184" fontId="1" fillId="4" borderId="14" xfId="0" applyNumberFormat="1" applyFont="1" applyFill="1" applyBorder="1" applyAlignment="1" applyProtection="1">
      <alignment horizontal="right" vertical="center"/>
    </xf>
    <xf numFmtId="0" fontId="2" fillId="8" borderId="15" xfId="0" applyFont="1" applyFill="1" applyBorder="1" applyAlignment="1" applyProtection="1">
      <alignment horizontal="left" vertical="center"/>
    </xf>
    <xf numFmtId="0" fontId="2" fillId="8" borderId="8" xfId="0" applyFont="1" applyFill="1" applyBorder="1" applyAlignment="1" applyProtection="1">
      <alignment horizontal="left" vertical="center"/>
    </xf>
    <xf numFmtId="0" fontId="2" fillId="8" borderId="14" xfId="0" applyFont="1" applyFill="1" applyBorder="1" applyAlignment="1" applyProtection="1">
      <alignment horizontal="left" vertical="center"/>
    </xf>
    <xf numFmtId="0" fontId="1" fillId="8" borderId="19" xfId="0" applyFont="1" applyFill="1" applyBorder="1" applyAlignment="1" applyProtection="1">
      <alignment horizontal="left" vertical="center" shrinkToFit="1"/>
    </xf>
    <xf numFmtId="0" fontId="1" fillId="8" borderId="0" xfId="0" applyFont="1" applyFill="1" applyBorder="1" applyAlignment="1" applyProtection="1">
      <alignment horizontal="left" vertical="center" shrinkToFit="1"/>
    </xf>
    <xf numFmtId="0" fontId="1" fillId="8" borderId="20" xfId="0" applyFont="1" applyFill="1" applyBorder="1" applyAlignment="1" applyProtection="1">
      <alignment horizontal="left" vertical="center" shrinkToFit="1"/>
    </xf>
    <xf numFmtId="187" fontId="1" fillId="8" borderId="19" xfId="0" applyNumberFormat="1" applyFont="1" applyFill="1" applyBorder="1" applyAlignment="1" applyProtection="1">
      <alignment horizontal="right" vertical="center"/>
    </xf>
    <xf numFmtId="187" fontId="1" fillId="8" borderId="0" xfId="0" applyNumberFormat="1" applyFont="1" applyFill="1" applyBorder="1" applyAlignment="1" applyProtection="1">
      <alignment horizontal="right" vertical="center"/>
    </xf>
    <xf numFmtId="187" fontId="1" fillId="8" borderId="20" xfId="0" applyNumberFormat="1" applyFont="1" applyFill="1" applyBorder="1" applyAlignment="1" applyProtection="1">
      <alignment horizontal="right" vertical="center"/>
    </xf>
    <xf numFmtId="2" fontId="1" fillId="4" borderId="19" xfId="0" applyNumberFormat="1" applyFont="1" applyFill="1" applyBorder="1" applyAlignment="1" applyProtection="1">
      <alignment horizontal="center" vertical="center"/>
    </xf>
    <xf numFmtId="2" fontId="1" fillId="4" borderId="20" xfId="0" applyNumberFormat="1" applyFont="1" applyFill="1" applyBorder="1" applyAlignment="1" applyProtection="1">
      <alignment horizontal="center" vertical="center"/>
    </xf>
    <xf numFmtId="184" fontId="1" fillId="4" borderId="19" xfId="0" applyNumberFormat="1" applyFont="1" applyFill="1" applyBorder="1" applyAlignment="1" applyProtection="1">
      <alignment horizontal="right" vertical="center"/>
    </xf>
    <xf numFmtId="184" fontId="1" fillId="4" borderId="20" xfId="0" applyNumberFormat="1" applyFont="1" applyFill="1" applyBorder="1" applyAlignment="1" applyProtection="1">
      <alignment horizontal="right" vertical="center"/>
    </xf>
    <xf numFmtId="0" fontId="2" fillId="8" borderId="19" xfId="0" applyFont="1" applyFill="1" applyBorder="1" applyAlignment="1" applyProtection="1">
      <alignment horizontal="left" vertical="center"/>
    </xf>
    <xf numFmtId="0" fontId="2" fillId="8" borderId="0" xfId="0" applyFont="1" applyFill="1" applyBorder="1" applyAlignment="1" applyProtection="1">
      <alignment horizontal="left" vertical="center"/>
    </xf>
    <xf numFmtId="0" fontId="2" fillId="8" borderId="20" xfId="0" applyFont="1" applyFill="1" applyBorder="1" applyAlignment="1" applyProtection="1">
      <alignment horizontal="left" vertical="center"/>
    </xf>
    <xf numFmtId="0" fontId="1" fillId="4" borderId="18"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21" xfId="0" applyFont="1" applyFill="1" applyBorder="1" applyAlignment="1" applyProtection="1">
      <alignment horizontal="center" vertical="center"/>
    </xf>
    <xf numFmtId="184" fontId="1" fillId="4" borderId="18" xfId="0" applyNumberFormat="1" applyFont="1" applyFill="1" applyBorder="1" applyAlignment="1" applyProtection="1">
      <alignment horizontal="right" vertical="center"/>
    </xf>
    <xf numFmtId="184" fontId="1" fillId="4" borderId="21" xfId="0" applyNumberFormat="1" applyFont="1" applyFill="1" applyBorder="1" applyAlignment="1" applyProtection="1">
      <alignment horizontal="right" vertical="center"/>
    </xf>
    <xf numFmtId="0" fontId="2" fillId="4" borderId="18" xfId="0" applyFont="1" applyFill="1" applyBorder="1" applyAlignment="1" applyProtection="1">
      <alignment horizontal="left" vertical="center"/>
    </xf>
    <xf numFmtId="0" fontId="2" fillId="4" borderId="12" xfId="0" applyFont="1" applyFill="1" applyBorder="1" applyAlignment="1" applyProtection="1">
      <alignment horizontal="left" vertical="center"/>
    </xf>
    <xf numFmtId="0" fontId="2" fillId="4" borderId="21" xfId="0" applyFont="1" applyFill="1" applyBorder="1" applyAlignment="1" applyProtection="1">
      <alignment horizontal="left" vertical="center"/>
    </xf>
    <xf numFmtId="2" fontId="1" fillId="4" borderId="12" xfId="0" applyNumberFormat="1" applyFont="1" applyFill="1" applyBorder="1" applyAlignment="1" applyProtection="1">
      <alignment horizontal="center" vertical="center"/>
    </xf>
    <xf numFmtId="0" fontId="2" fillId="4" borderId="18" xfId="0" applyFont="1" applyFill="1" applyBorder="1" applyAlignment="1" applyProtection="1">
      <alignment horizontal="center" vertical="center" shrinkToFit="1"/>
    </xf>
    <xf numFmtId="0" fontId="2" fillId="4" borderId="12" xfId="0" applyFont="1" applyFill="1" applyBorder="1" applyAlignment="1" applyProtection="1">
      <alignment horizontal="center" vertical="center" shrinkToFit="1"/>
    </xf>
    <xf numFmtId="0" fontId="2" fillId="4" borderId="21" xfId="0" applyFont="1" applyFill="1" applyBorder="1" applyAlignment="1" applyProtection="1">
      <alignment horizontal="center" vertical="center" shrinkToFit="1"/>
    </xf>
    <xf numFmtId="2" fontId="1" fillId="4" borderId="15" xfId="0" applyNumberFormat="1" applyFont="1" applyFill="1" applyBorder="1" applyAlignment="1" applyProtection="1">
      <alignment horizontal="right" vertical="center"/>
    </xf>
    <xf numFmtId="2" fontId="1" fillId="4" borderId="14" xfId="0" applyNumberFormat="1" applyFont="1" applyFill="1" applyBorder="1" applyAlignment="1" applyProtection="1">
      <alignment horizontal="right" vertical="center"/>
    </xf>
    <xf numFmtId="2" fontId="1" fillId="4" borderId="19" xfId="0" applyNumberFormat="1" applyFont="1" applyFill="1" applyBorder="1" applyAlignment="1" applyProtection="1">
      <alignment horizontal="right" vertical="center"/>
    </xf>
    <xf numFmtId="2" fontId="1" fillId="4" borderId="20" xfId="0" applyNumberFormat="1" applyFont="1" applyFill="1" applyBorder="1" applyAlignment="1" applyProtection="1">
      <alignment horizontal="right" vertical="center"/>
    </xf>
    <xf numFmtId="0" fontId="1" fillId="8" borderId="17" xfId="0" applyFont="1" applyFill="1" applyBorder="1" applyAlignment="1" applyProtection="1">
      <alignment horizontal="left" vertical="center" shrinkToFit="1"/>
    </xf>
    <xf numFmtId="0" fontId="1" fillId="8" borderId="7" xfId="0" applyFont="1" applyFill="1" applyBorder="1" applyAlignment="1" applyProtection="1">
      <alignment horizontal="left" vertical="center" shrinkToFit="1"/>
    </xf>
    <xf numFmtId="0" fontId="1" fillId="8" borderId="16" xfId="0" applyFont="1" applyFill="1" applyBorder="1" applyAlignment="1" applyProtection="1">
      <alignment horizontal="left" vertical="center" shrinkToFit="1"/>
    </xf>
    <xf numFmtId="187" fontId="1" fillId="8" borderId="17" xfId="0" applyNumberFormat="1" applyFont="1" applyFill="1" applyBorder="1" applyAlignment="1" applyProtection="1">
      <alignment horizontal="right" vertical="center"/>
    </xf>
    <xf numFmtId="187" fontId="1" fillId="8" borderId="7" xfId="0" applyNumberFormat="1" applyFont="1" applyFill="1" applyBorder="1" applyAlignment="1" applyProtection="1">
      <alignment horizontal="right" vertical="center"/>
    </xf>
    <xf numFmtId="187" fontId="1" fillId="8" borderId="16" xfId="0" applyNumberFormat="1" applyFont="1" applyFill="1" applyBorder="1" applyAlignment="1" applyProtection="1">
      <alignment horizontal="right" vertical="center"/>
    </xf>
    <xf numFmtId="2" fontId="1" fillId="4" borderId="17" xfId="0" applyNumberFormat="1" applyFont="1" applyFill="1" applyBorder="1" applyAlignment="1" applyProtection="1">
      <alignment horizontal="center" vertical="center"/>
    </xf>
    <xf numFmtId="2" fontId="1" fillId="4" borderId="16" xfId="0" applyNumberFormat="1" applyFont="1" applyFill="1" applyBorder="1" applyAlignment="1" applyProtection="1">
      <alignment horizontal="center" vertical="center"/>
    </xf>
    <xf numFmtId="2" fontId="1" fillId="4" borderId="17" xfId="0" applyNumberFormat="1" applyFont="1" applyFill="1" applyBorder="1" applyAlignment="1" applyProtection="1">
      <alignment horizontal="right" vertical="center"/>
    </xf>
    <xf numFmtId="2" fontId="1" fillId="4" borderId="16" xfId="0" applyNumberFormat="1" applyFont="1" applyFill="1" applyBorder="1" applyAlignment="1" applyProtection="1">
      <alignment horizontal="right" vertical="center"/>
    </xf>
    <xf numFmtId="0" fontId="2" fillId="8" borderId="17" xfId="0" applyFont="1" applyFill="1" applyBorder="1" applyAlignment="1" applyProtection="1">
      <alignment horizontal="left" vertical="center"/>
    </xf>
    <xf numFmtId="0" fontId="2" fillId="8" borderId="7" xfId="0" applyFont="1" applyFill="1" applyBorder="1" applyAlignment="1" applyProtection="1">
      <alignment horizontal="left" vertical="center"/>
    </xf>
    <xf numFmtId="0" fontId="2" fillId="8" borderId="16" xfId="0" applyFont="1" applyFill="1" applyBorder="1" applyAlignment="1" applyProtection="1">
      <alignment horizontal="left" vertical="center"/>
    </xf>
    <xf numFmtId="2" fontId="1" fillId="4" borderId="18" xfId="0" applyNumberFormat="1" applyFont="1" applyFill="1" applyBorder="1" applyAlignment="1" applyProtection="1">
      <alignment horizontal="right" vertical="center"/>
    </xf>
    <xf numFmtId="2" fontId="1" fillId="4" borderId="21" xfId="0" applyNumberFormat="1" applyFont="1" applyFill="1" applyBorder="1" applyAlignment="1" applyProtection="1">
      <alignment horizontal="right" vertical="center"/>
    </xf>
    <xf numFmtId="177" fontId="2" fillId="4" borderId="0" xfId="0" applyNumberFormat="1"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15" xfId="0" applyFont="1" applyFill="1" applyBorder="1" applyAlignment="1" applyProtection="1">
      <alignment horizontal="center" vertical="center"/>
    </xf>
    <xf numFmtId="0" fontId="2" fillId="4" borderId="8"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180" fontId="2" fillId="4" borderId="15" xfId="0" applyNumberFormat="1" applyFont="1" applyFill="1" applyBorder="1" applyAlignment="1" applyProtection="1">
      <alignment horizontal="center" vertical="center"/>
    </xf>
    <xf numFmtId="180" fontId="2" fillId="4" borderId="14" xfId="0" applyNumberFormat="1" applyFont="1" applyFill="1" applyBorder="1" applyAlignment="1" applyProtection="1">
      <alignment horizontal="center" vertical="center"/>
    </xf>
    <xf numFmtId="0" fontId="1" fillId="4" borderId="17"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0" fontId="2" fillId="8" borderId="18" xfId="0" applyFont="1" applyFill="1" applyBorder="1" applyAlignment="1" applyProtection="1">
      <alignment horizontal="left" vertical="center" shrinkToFit="1"/>
    </xf>
    <xf numFmtId="0" fontId="2" fillId="8" borderId="12" xfId="0" applyFont="1" applyFill="1" applyBorder="1" applyAlignment="1" applyProtection="1">
      <alignment horizontal="left" vertical="center" shrinkToFit="1"/>
    </xf>
    <xf numFmtId="0" fontId="2" fillId="8" borderId="21" xfId="0" applyFont="1" applyFill="1" applyBorder="1" applyAlignment="1" applyProtection="1">
      <alignment horizontal="left" vertical="center" shrinkToFit="1"/>
    </xf>
    <xf numFmtId="177" fontId="2" fillId="8" borderId="17" xfId="0" applyNumberFormat="1" applyFont="1" applyFill="1" applyBorder="1" applyAlignment="1" applyProtection="1">
      <alignment horizontal="center" vertical="center"/>
    </xf>
    <xf numFmtId="177" fontId="2" fillId="8" borderId="7" xfId="0" applyNumberFormat="1" applyFont="1" applyFill="1" applyBorder="1" applyAlignment="1" applyProtection="1">
      <alignment horizontal="center" vertical="center"/>
    </xf>
    <xf numFmtId="177" fontId="2" fillId="8" borderId="16" xfId="0" applyNumberFormat="1" applyFont="1" applyFill="1" applyBorder="1" applyAlignment="1" applyProtection="1">
      <alignment horizontal="center" vertical="center"/>
    </xf>
    <xf numFmtId="194" fontId="2" fillId="8" borderId="18" xfId="0" applyNumberFormat="1" applyFont="1" applyFill="1" applyBorder="1" applyAlignment="1" applyProtection="1">
      <alignment horizontal="center" vertical="center"/>
    </xf>
    <xf numFmtId="194" fontId="2" fillId="8" borderId="12" xfId="0" applyNumberFormat="1" applyFont="1" applyFill="1" applyBorder="1" applyAlignment="1" applyProtection="1">
      <alignment horizontal="center" vertical="center"/>
    </xf>
    <xf numFmtId="194" fontId="2" fillId="8" borderId="21" xfId="0" applyNumberFormat="1" applyFont="1" applyFill="1" applyBorder="1" applyAlignment="1" applyProtection="1">
      <alignment horizontal="center" vertical="center"/>
    </xf>
    <xf numFmtId="177" fontId="1" fillId="8" borderId="0" xfId="0" applyNumberFormat="1" applyFont="1" applyFill="1" applyBorder="1" applyAlignment="1" applyProtection="1">
      <alignment horizontal="center" vertical="center"/>
    </xf>
    <xf numFmtId="176" fontId="1" fillId="8" borderId="0" xfId="0" applyNumberFormat="1" applyFont="1" applyFill="1" applyBorder="1" applyAlignment="1" applyProtection="1">
      <alignment horizontal="center"/>
    </xf>
    <xf numFmtId="177" fontId="1" fillId="4" borderId="0" xfId="0" applyNumberFormat="1" applyFont="1" applyFill="1" applyBorder="1" applyAlignment="1" applyProtection="1">
      <alignment horizontal="center" vertical="center"/>
    </xf>
    <xf numFmtId="0" fontId="2" fillId="8" borderId="8" xfId="0" applyFont="1" applyFill="1" applyBorder="1" applyAlignment="1" applyProtection="1">
      <alignment horizontal="center" vertical="center" shrinkToFit="1"/>
    </xf>
    <xf numFmtId="2" fontId="1" fillId="4" borderId="0" xfId="0" applyNumberFormat="1" applyFont="1" applyFill="1" applyBorder="1" applyAlignment="1" applyProtection="1">
      <alignment horizontal="center"/>
    </xf>
    <xf numFmtId="0" fontId="2" fillId="8" borderId="0" xfId="0" applyFont="1" applyFill="1" applyBorder="1" applyAlignment="1">
      <alignment horizontal="left" vertical="center"/>
    </xf>
    <xf numFmtId="0" fontId="8" fillId="4" borderId="17" xfId="0" applyFont="1" applyFill="1" applyBorder="1" applyAlignment="1" applyProtection="1">
      <alignment horizontal="left" shrinkToFit="1"/>
      <protection hidden="1"/>
    </xf>
    <xf numFmtId="0" fontId="8" fillId="4" borderId="7" xfId="0" applyFont="1" applyFill="1" applyBorder="1" applyAlignment="1" applyProtection="1">
      <alignment horizontal="left" shrinkToFit="1"/>
      <protection hidden="1"/>
    </xf>
    <xf numFmtId="0" fontId="8" fillId="4" borderId="16" xfId="0" applyFont="1" applyFill="1" applyBorder="1" applyAlignment="1" applyProtection="1">
      <alignment horizontal="left" shrinkToFit="1"/>
      <protection hidden="1"/>
    </xf>
    <xf numFmtId="0" fontId="1" fillId="4" borderId="4" xfId="0" applyFont="1" applyFill="1" applyBorder="1" applyAlignment="1" applyProtection="1">
      <alignment horizontal="center" vertical="center" wrapText="1"/>
      <protection hidden="1"/>
    </xf>
    <xf numFmtId="177" fontId="1" fillId="4" borderId="4" xfId="0" applyNumberFormat="1" applyFont="1" applyFill="1" applyBorder="1" applyAlignment="1" applyProtection="1">
      <alignment horizontal="center" vertical="center"/>
      <protection hidden="1"/>
    </xf>
    <xf numFmtId="0" fontId="2" fillId="3" borderId="4" xfId="0" applyFont="1" applyFill="1" applyBorder="1" applyAlignment="1" applyProtection="1">
      <alignment horizontal="center" vertical="center"/>
      <protection locked="0"/>
    </xf>
    <xf numFmtId="177" fontId="2" fillId="0" borderId="8" xfId="0" applyNumberFormat="1" applyFont="1" applyFill="1" applyBorder="1" applyAlignment="1">
      <alignment horizontal="center" vertical="center"/>
    </xf>
    <xf numFmtId="2" fontId="2" fillId="0" borderId="15"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176" fontId="2" fillId="0" borderId="15"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2" fontId="1" fillId="0" borderId="0" xfId="0" applyNumberFormat="1" applyFont="1" applyFill="1" applyBorder="1" applyAlignment="1">
      <alignment horizontal="center"/>
    </xf>
    <xf numFmtId="180" fontId="2" fillId="0" borderId="0" xfId="0" applyNumberFormat="1" applyFont="1" applyFill="1" applyBorder="1" applyAlignment="1">
      <alignment horizontal="center" vertical="center"/>
    </xf>
    <xf numFmtId="2" fontId="1" fillId="3" borderId="0" xfId="0" applyNumberFormat="1" applyFont="1" applyFill="1" applyBorder="1" applyAlignment="1" applyProtection="1">
      <alignment horizontal="center"/>
      <protection locked="0"/>
    </xf>
    <xf numFmtId="0" fontId="2" fillId="4" borderId="23" xfId="0" applyFont="1" applyFill="1" applyBorder="1" applyAlignment="1">
      <alignment horizontal="center" vertical="center"/>
    </xf>
    <xf numFmtId="0" fontId="1" fillId="0" borderId="22" xfId="0" applyFont="1" applyFill="1" applyBorder="1" applyAlignment="1">
      <alignment horizontal="center" vertical="center" wrapText="1"/>
    </xf>
    <xf numFmtId="177" fontId="2" fillId="2" borderId="0" xfId="0" applyNumberFormat="1" applyFont="1" applyFill="1" applyBorder="1" applyAlignment="1" applyProtection="1">
      <alignment horizontal="center" vertical="center"/>
      <protection locked="0"/>
    </xf>
    <xf numFmtId="177" fontId="2" fillId="0" borderId="17" xfId="0" applyNumberFormat="1" applyFont="1" applyBorder="1" applyAlignment="1">
      <alignment horizontal="center" vertical="center"/>
    </xf>
    <xf numFmtId="177" fontId="2" fillId="0" borderId="16"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16"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14" xfId="0" applyNumberFormat="1" applyFont="1" applyBorder="1" applyAlignment="1">
      <alignment horizontal="center" vertical="center"/>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2" fontId="2" fillId="0" borderId="17" xfId="0" applyNumberFormat="1" applyFont="1" applyFill="1" applyBorder="1" applyAlignment="1">
      <alignment horizontal="center" vertical="center"/>
    </xf>
    <xf numFmtId="2" fontId="2" fillId="0" borderId="16" xfId="0" applyNumberFormat="1" applyFont="1" applyFill="1" applyBorder="1" applyAlignment="1">
      <alignment horizontal="center" vertical="center"/>
    </xf>
    <xf numFmtId="0" fontId="2" fillId="0" borderId="18" xfId="0" applyFont="1" applyBorder="1" applyAlignment="1">
      <alignment horizontal="center" vertical="center" wrapText="1"/>
    </xf>
    <xf numFmtId="194" fontId="2" fillId="3" borderId="4" xfId="0" applyNumberFormat="1" applyFont="1" applyFill="1" applyBorder="1" applyAlignment="1" applyProtection="1">
      <alignment horizontal="center" vertical="center"/>
      <protection locked="0"/>
    </xf>
    <xf numFmtId="0" fontId="2" fillId="0" borderId="21" xfId="0" applyFont="1" applyBorder="1" applyAlignment="1">
      <alignment horizontal="center" vertical="center" wrapText="1"/>
    </xf>
    <xf numFmtId="2" fontId="1" fillId="4" borderId="0" xfId="0" applyNumberFormat="1" applyFont="1" applyFill="1" applyBorder="1" applyAlignment="1">
      <alignment horizontal="center" vertical="center"/>
    </xf>
    <xf numFmtId="191" fontId="2" fillId="3" borderId="0" xfId="0" applyNumberFormat="1" applyFont="1" applyFill="1" applyBorder="1" applyAlignment="1" applyProtection="1">
      <alignment horizontal="center" vertical="center"/>
      <protection locked="0"/>
    </xf>
    <xf numFmtId="191" fontId="2" fillId="2" borderId="0" xfId="0" applyNumberFormat="1" applyFont="1" applyFill="1" applyBorder="1" applyAlignment="1" applyProtection="1">
      <alignment horizontal="center" vertical="center"/>
      <protection locked="0"/>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176" fontId="1" fillId="4" borderId="18" xfId="0" applyNumberFormat="1" applyFont="1" applyFill="1" applyBorder="1" applyAlignment="1" applyProtection="1">
      <alignment horizontal="center" vertical="center"/>
      <protection hidden="1"/>
    </xf>
    <xf numFmtId="176" fontId="1" fillId="4" borderId="12" xfId="0" applyNumberFormat="1" applyFont="1" applyFill="1" applyBorder="1" applyAlignment="1" applyProtection="1">
      <alignment horizontal="center" vertical="center"/>
      <protection hidden="1"/>
    </xf>
    <xf numFmtId="176" fontId="1" fillId="4" borderId="21" xfId="0" applyNumberFormat="1" applyFont="1" applyFill="1" applyBorder="1" applyAlignment="1" applyProtection="1">
      <alignment horizontal="center" vertical="center"/>
      <protection hidden="1"/>
    </xf>
    <xf numFmtId="176" fontId="1" fillId="4" borderId="17" xfId="0" applyNumberFormat="1" applyFont="1" applyFill="1" applyBorder="1" applyAlignment="1" applyProtection="1">
      <alignment horizontal="center" vertical="center"/>
      <protection hidden="1"/>
    </xf>
    <xf numFmtId="176" fontId="1" fillId="4" borderId="7" xfId="0" applyNumberFormat="1" applyFont="1" applyFill="1" applyBorder="1" applyAlignment="1" applyProtection="1">
      <alignment horizontal="center" vertical="center"/>
      <protection hidden="1"/>
    </xf>
    <xf numFmtId="176" fontId="1" fillId="4" borderId="16" xfId="0" applyNumberFormat="1"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shrinkToFit="1"/>
      <protection hidden="1"/>
    </xf>
    <xf numFmtId="0" fontId="8" fillId="4" borderId="8" xfId="0" applyFont="1" applyFill="1" applyBorder="1" applyAlignment="1" applyProtection="1">
      <alignment horizontal="center" vertical="center" shrinkToFit="1"/>
      <protection hidden="1"/>
    </xf>
    <xf numFmtId="0" fontId="8" fillId="4" borderId="14" xfId="0" applyFont="1" applyFill="1" applyBorder="1" applyAlignment="1" applyProtection="1">
      <alignment horizontal="center" vertical="center" shrinkToFit="1"/>
      <protection hidden="1"/>
    </xf>
    <xf numFmtId="0" fontId="1" fillId="4" borderId="17" xfId="0" applyFont="1" applyFill="1" applyBorder="1" applyAlignment="1" applyProtection="1">
      <alignment horizontal="center" vertical="center" shrinkToFit="1"/>
      <protection hidden="1"/>
    </xf>
    <xf numFmtId="0" fontId="1" fillId="4" borderId="16" xfId="0" applyFont="1" applyFill="1" applyBorder="1" applyAlignment="1" applyProtection="1">
      <alignment horizontal="center" vertical="center" shrinkToFit="1"/>
      <protection hidden="1"/>
    </xf>
    <xf numFmtId="0" fontId="8" fillId="4" borderId="17" xfId="0" applyFont="1" applyFill="1" applyBorder="1" applyAlignment="1" applyProtection="1">
      <alignment horizontal="center" vertical="center" shrinkToFit="1"/>
      <protection hidden="1"/>
    </xf>
    <xf numFmtId="0" fontId="8" fillId="4" borderId="7" xfId="0" applyFont="1" applyFill="1" applyBorder="1" applyAlignment="1" applyProtection="1">
      <alignment horizontal="center" vertical="center" shrinkToFit="1"/>
      <protection hidden="1"/>
    </xf>
    <xf numFmtId="0" fontId="8" fillId="4" borderId="16" xfId="0" applyFont="1" applyFill="1" applyBorder="1" applyAlignment="1" applyProtection="1">
      <alignment horizontal="center" vertical="center" shrinkToFit="1"/>
      <protection hidden="1"/>
    </xf>
    <xf numFmtId="0" fontId="1" fillId="4" borderId="15" xfId="0" applyFont="1" applyFill="1" applyBorder="1" applyAlignment="1" applyProtection="1">
      <alignment horizontal="center" vertical="center" shrinkToFit="1"/>
      <protection hidden="1"/>
    </xf>
    <xf numFmtId="0" fontId="1" fillId="4" borderId="8" xfId="0" applyFont="1" applyFill="1" applyBorder="1" applyAlignment="1" applyProtection="1">
      <alignment horizontal="center" vertical="center" shrinkToFit="1"/>
      <protection hidden="1"/>
    </xf>
    <xf numFmtId="0" fontId="1" fillId="4" borderId="14" xfId="0" applyFont="1" applyFill="1" applyBorder="1" applyAlignment="1" applyProtection="1">
      <alignment horizontal="center" vertical="center" shrinkToFit="1"/>
      <protection hidden="1"/>
    </xf>
    <xf numFmtId="0" fontId="1" fillId="4" borderId="7" xfId="0" applyFont="1" applyFill="1" applyBorder="1" applyAlignment="1" applyProtection="1">
      <alignment horizontal="center" vertical="center" shrinkToFit="1"/>
      <protection hidden="1"/>
    </xf>
    <xf numFmtId="197" fontId="1" fillId="4" borderId="18" xfId="0" applyNumberFormat="1" applyFont="1" applyFill="1" applyBorder="1" applyAlignment="1" applyProtection="1">
      <alignment horizontal="center" vertical="center"/>
      <protection hidden="1"/>
    </xf>
    <xf numFmtId="197" fontId="1" fillId="4" borderId="12" xfId="0" applyNumberFormat="1" applyFont="1" applyFill="1" applyBorder="1" applyAlignment="1" applyProtection="1">
      <alignment horizontal="center" vertical="center"/>
      <protection hidden="1"/>
    </xf>
    <xf numFmtId="197" fontId="1" fillId="4" borderId="21" xfId="0" applyNumberFormat="1" applyFont="1" applyFill="1" applyBorder="1" applyAlignment="1" applyProtection="1">
      <alignment horizontal="center" vertical="center"/>
      <protection hidden="1"/>
    </xf>
    <xf numFmtId="0" fontId="2" fillId="4" borderId="18" xfId="0" applyFont="1" applyFill="1" applyBorder="1" applyAlignment="1" applyProtection="1">
      <alignment horizontal="left" vertical="center" shrinkToFit="1"/>
    </xf>
    <xf numFmtId="0" fontId="2" fillId="4" borderId="12" xfId="0" applyFont="1" applyFill="1" applyBorder="1" applyAlignment="1" applyProtection="1">
      <alignment horizontal="left" vertical="center" shrinkToFit="1"/>
    </xf>
    <xf numFmtId="0" fontId="2" fillId="4" borderId="21" xfId="0" applyFont="1" applyFill="1" applyBorder="1" applyAlignment="1" applyProtection="1">
      <alignment horizontal="left" vertical="center" shrinkToFit="1"/>
    </xf>
    <xf numFmtId="177" fontId="2" fillId="8" borderId="4" xfId="0" applyNumberFormat="1" applyFont="1" applyFill="1" applyBorder="1" applyAlignment="1" applyProtection="1">
      <alignment horizontal="center" vertical="center"/>
    </xf>
    <xf numFmtId="194" fontId="2" fillId="8" borderId="4" xfId="0" applyNumberFormat="1" applyFont="1" applyFill="1" applyBorder="1" applyAlignment="1" applyProtection="1">
      <alignment horizontal="center" vertical="center"/>
    </xf>
    <xf numFmtId="194" fontId="1" fillId="8" borderId="4" xfId="0" applyNumberFormat="1" applyFont="1" applyFill="1" applyBorder="1" applyAlignment="1" applyProtection="1">
      <alignment horizontal="center" vertical="center"/>
    </xf>
    <xf numFmtId="0" fontId="2" fillId="8" borderId="4" xfId="0" applyFont="1" applyFill="1" applyBorder="1" applyAlignment="1" applyProtection="1">
      <alignment horizontal="center" vertical="center"/>
    </xf>
    <xf numFmtId="176" fontId="1" fillId="4" borderId="18" xfId="0" applyNumberFormat="1" applyFont="1" applyFill="1" applyBorder="1" applyAlignment="1" applyProtection="1">
      <alignment horizontal="center" vertical="center" shrinkToFit="1"/>
      <protection hidden="1"/>
    </xf>
    <xf numFmtId="176" fontId="1" fillId="4" borderId="12" xfId="0" applyNumberFormat="1" applyFont="1" applyFill="1" applyBorder="1" applyAlignment="1" applyProtection="1">
      <alignment horizontal="center" vertical="center" shrinkToFit="1"/>
      <protection hidden="1"/>
    </xf>
    <xf numFmtId="176" fontId="1" fillId="4" borderId="21" xfId="0" applyNumberFormat="1" applyFont="1" applyFill="1" applyBorder="1" applyAlignment="1" applyProtection="1">
      <alignment horizontal="center" vertical="center" shrinkToFit="1"/>
      <protection hidden="1"/>
    </xf>
    <xf numFmtId="0" fontId="1" fillId="4" borderId="0" xfId="0" applyNumberFormat="1" applyFont="1" applyFill="1" applyBorder="1" applyAlignment="1" applyProtection="1">
      <alignment horizontal="center"/>
      <protection hidden="1"/>
    </xf>
    <xf numFmtId="177" fontId="1" fillId="4" borderId="7" xfId="0" quotePrefix="1" applyNumberFormat="1" applyFont="1" applyFill="1" applyBorder="1" applyAlignment="1" applyProtection="1">
      <alignment horizontal="center" vertical="center"/>
      <protection hidden="1"/>
    </xf>
    <xf numFmtId="177" fontId="2" fillId="3" borderId="4" xfId="0" applyNumberFormat="1" applyFont="1" applyFill="1" applyBorder="1" applyAlignment="1" applyProtection="1">
      <alignment horizontal="center" vertical="center"/>
      <protection locked="0"/>
    </xf>
    <xf numFmtId="194" fontId="1" fillId="3" borderId="4" xfId="0" applyNumberFormat="1" applyFont="1" applyFill="1" applyBorder="1" applyAlignment="1" applyProtection="1">
      <alignment horizontal="center" vertical="center"/>
      <protection locked="0"/>
    </xf>
    <xf numFmtId="2" fontId="1" fillId="4" borderId="14" xfId="0" applyNumberFormat="1" applyFont="1" applyFill="1" applyBorder="1" applyAlignment="1">
      <alignment horizontal="center" vertical="center"/>
    </xf>
    <xf numFmtId="177" fontId="2" fillId="8" borderId="0" xfId="0" applyNumberFormat="1" applyFont="1" applyFill="1" applyBorder="1" applyAlignment="1" applyProtection="1">
      <alignment horizontal="center" vertical="center"/>
    </xf>
    <xf numFmtId="191" fontId="2" fillId="8" borderId="0" xfId="0" applyNumberFormat="1" applyFont="1" applyFill="1" applyBorder="1" applyAlignment="1" applyProtection="1">
      <alignment horizontal="center" vertical="center"/>
    </xf>
    <xf numFmtId="177" fontId="2" fillId="8" borderId="18" xfId="0" applyNumberFormat="1" applyFont="1" applyFill="1" applyBorder="1" applyAlignment="1" applyProtection="1">
      <alignment horizontal="center" vertical="center"/>
    </xf>
    <xf numFmtId="177" fontId="2" fillId="8" borderId="21" xfId="0" applyNumberFormat="1" applyFont="1" applyFill="1" applyBorder="1" applyAlignment="1" applyProtection="1">
      <alignment horizontal="center" vertical="center"/>
    </xf>
    <xf numFmtId="0" fontId="1" fillId="8" borderId="4" xfId="0" applyNumberFormat="1" applyFont="1" applyFill="1" applyBorder="1" applyAlignment="1" applyProtection="1">
      <alignment horizontal="center" vertical="center"/>
    </xf>
    <xf numFmtId="0" fontId="1" fillId="0" borderId="4" xfId="0" applyFont="1" applyFill="1" applyBorder="1" applyAlignment="1">
      <alignment horizontal="center" vertical="center" wrapText="1"/>
    </xf>
    <xf numFmtId="0" fontId="1" fillId="4" borderId="19" xfId="0" applyFont="1" applyFill="1" applyBorder="1" applyAlignment="1" applyProtection="1">
      <alignment horizontal="left" vertical="center" shrinkToFit="1"/>
    </xf>
    <xf numFmtId="0" fontId="1" fillId="4" borderId="0" xfId="0" applyFont="1" applyFill="1" applyBorder="1" applyAlignment="1" applyProtection="1">
      <alignment horizontal="left" vertical="center" shrinkToFit="1"/>
    </xf>
    <xf numFmtId="0" fontId="1" fillId="4" borderId="20" xfId="0" applyFont="1" applyFill="1" applyBorder="1" applyAlignment="1" applyProtection="1">
      <alignment horizontal="left" vertical="center" shrinkToFit="1"/>
    </xf>
    <xf numFmtId="187" fontId="1" fillId="4" borderId="19" xfId="0" applyNumberFormat="1" applyFont="1" applyFill="1" applyBorder="1" applyAlignment="1" applyProtection="1">
      <alignment horizontal="right" vertical="center"/>
    </xf>
    <xf numFmtId="187" fontId="1" fillId="4" borderId="0" xfId="0" applyNumberFormat="1" applyFont="1" applyFill="1" applyBorder="1" applyAlignment="1" applyProtection="1">
      <alignment horizontal="right" vertical="center"/>
    </xf>
    <xf numFmtId="187" fontId="1" fillId="4" borderId="20" xfId="0" applyNumberFormat="1" applyFont="1" applyFill="1" applyBorder="1" applyAlignment="1" applyProtection="1">
      <alignment horizontal="right" vertical="center"/>
    </xf>
    <xf numFmtId="0" fontId="2" fillId="4" borderId="19" xfId="0" applyFont="1" applyFill="1" applyBorder="1" applyAlignment="1" applyProtection="1">
      <alignment horizontal="left" vertical="center" shrinkToFit="1"/>
    </xf>
    <xf numFmtId="0" fontId="2" fillId="4" borderId="0" xfId="0" applyFont="1" applyFill="1" applyBorder="1" applyAlignment="1" applyProtection="1">
      <alignment horizontal="left" vertical="center" shrinkToFit="1"/>
    </xf>
    <xf numFmtId="0" fontId="2" fillId="4" borderId="20" xfId="0" applyFont="1" applyFill="1" applyBorder="1" applyAlignment="1" applyProtection="1">
      <alignment horizontal="left" vertical="center" shrinkToFit="1"/>
    </xf>
    <xf numFmtId="9" fontId="1" fillId="8" borderId="0" xfId="0" applyNumberFormat="1" applyFont="1" applyFill="1" applyBorder="1" applyAlignment="1" applyProtection="1">
      <alignment horizontal="center" vertical="center" shrinkToFit="1"/>
    </xf>
    <xf numFmtId="0" fontId="1" fillId="4" borderId="15" xfId="0" applyFont="1" applyFill="1" applyBorder="1" applyAlignment="1" applyProtection="1">
      <alignment horizontal="left" vertical="center" shrinkToFit="1"/>
    </xf>
    <xf numFmtId="0" fontId="1" fillId="4" borderId="8" xfId="0" applyFont="1" applyFill="1" applyBorder="1" applyAlignment="1" applyProtection="1">
      <alignment horizontal="left" vertical="center" shrinkToFit="1"/>
    </xf>
    <xf numFmtId="0" fontId="1" fillId="4" borderId="14" xfId="0" applyFont="1" applyFill="1" applyBorder="1" applyAlignment="1" applyProtection="1">
      <alignment horizontal="left" vertical="center" shrinkToFit="1"/>
    </xf>
    <xf numFmtId="187" fontId="1" fillId="4" borderId="15" xfId="0" applyNumberFormat="1" applyFont="1" applyFill="1" applyBorder="1" applyAlignment="1" applyProtection="1">
      <alignment horizontal="right" vertical="center"/>
    </xf>
    <xf numFmtId="187" fontId="1" fillId="4" borderId="8" xfId="0" applyNumberFormat="1" applyFont="1" applyFill="1" applyBorder="1" applyAlignment="1" applyProtection="1">
      <alignment horizontal="right" vertical="center"/>
    </xf>
    <xf numFmtId="187" fontId="1" fillId="4" borderId="14" xfId="0" applyNumberFormat="1" applyFont="1" applyFill="1" applyBorder="1" applyAlignment="1" applyProtection="1">
      <alignment horizontal="right" vertical="center"/>
    </xf>
    <xf numFmtId="2" fontId="1" fillId="4" borderId="14" xfId="0" applyNumberFormat="1" applyFont="1" applyFill="1" applyBorder="1" applyAlignment="1" applyProtection="1">
      <alignment horizontal="center" vertical="center"/>
    </xf>
    <xf numFmtId="0" fontId="2" fillId="4" borderId="15" xfId="0" applyFont="1" applyFill="1" applyBorder="1" applyAlignment="1" applyProtection="1">
      <alignment horizontal="left" vertical="center" shrinkToFit="1"/>
    </xf>
    <xf numFmtId="0" fontId="2" fillId="4" borderId="8" xfId="0" applyFont="1" applyFill="1" applyBorder="1" applyAlignment="1" applyProtection="1">
      <alignment horizontal="left" vertical="center" shrinkToFit="1"/>
    </xf>
    <xf numFmtId="0" fontId="2" fillId="4" borderId="14" xfId="0" applyFont="1" applyFill="1" applyBorder="1" applyAlignment="1" applyProtection="1">
      <alignment horizontal="left" vertical="center" shrinkToFit="1"/>
    </xf>
    <xf numFmtId="9" fontId="1" fillId="2" borderId="0" xfId="0" applyNumberFormat="1" applyFont="1" applyFill="1" applyBorder="1" applyAlignment="1" applyProtection="1">
      <alignment horizontal="center" vertical="center" shrinkToFit="1"/>
      <protection locked="0"/>
    </xf>
    <xf numFmtId="0" fontId="1" fillId="3" borderId="4" xfId="0" applyNumberFormat="1" applyFont="1" applyFill="1" applyBorder="1" applyAlignment="1" applyProtection="1">
      <alignment horizontal="center" vertical="center"/>
      <protection locked="0"/>
    </xf>
    <xf numFmtId="177" fontId="2" fillId="3" borderId="18" xfId="0" applyNumberFormat="1" applyFont="1" applyFill="1" applyBorder="1" applyAlignment="1" applyProtection="1">
      <alignment horizontal="center" vertical="center"/>
      <protection locked="0"/>
    </xf>
    <xf numFmtId="177" fontId="2" fillId="3" borderId="21" xfId="0" applyNumberFormat="1" applyFont="1" applyFill="1" applyBorder="1" applyAlignment="1" applyProtection="1">
      <alignment horizontal="center" vertical="center"/>
      <protection locked="0"/>
    </xf>
    <xf numFmtId="195" fontId="1" fillId="4" borderId="28" xfId="0" applyNumberFormat="1" applyFont="1" applyFill="1" applyBorder="1" applyAlignment="1" applyProtection="1">
      <alignment horizontal="center"/>
      <protection hidden="1"/>
    </xf>
    <xf numFmtId="195" fontId="1" fillId="4" borderId="23" xfId="0" applyNumberFormat="1" applyFont="1" applyFill="1" applyBorder="1" applyAlignment="1" applyProtection="1">
      <alignment horizontal="center"/>
      <protection hidden="1"/>
    </xf>
    <xf numFmtId="187" fontId="1" fillId="2" borderId="0" xfId="0" applyNumberFormat="1" applyFont="1" applyFill="1" applyBorder="1" applyAlignment="1" applyProtection="1">
      <alignment horizontal="center" vertical="center"/>
      <protection locked="0"/>
    </xf>
    <xf numFmtId="9" fontId="1" fillId="2"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176" fontId="2"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2" fontId="2"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177" fontId="2" fillId="0" borderId="4" xfId="0" applyNumberFormat="1" applyFont="1" applyBorder="1" applyAlignment="1">
      <alignment horizontal="center" vertical="center"/>
    </xf>
    <xf numFmtId="184" fontId="1" fillId="0" borderId="7" xfId="0" applyNumberFormat="1" applyFont="1" applyFill="1" applyBorder="1" applyAlignment="1">
      <alignment horizontal="center" vertical="center"/>
    </xf>
    <xf numFmtId="195" fontId="1" fillId="4" borderId="4" xfId="0" applyNumberFormat="1" applyFont="1" applyFill="1" applyBorder="1" applyAlignment="1" applyProtection="1">
      <alignment horizontal="center"/>
      <protection hidden="1"/>
    </xf>
    <xf numFmtId="187" fontId="1" fillId="8" borderId="0" xfId="0" applyNumberFormat="1" applyFont="1" applyFill="1" applyBorder="1" applyAlignment="1" applyProtection="1">
      <alignment horizontal="center" vertical="center"/>
    </xf>
    <xf numFmtId="9" fontId="1" fillId="8" borderId="0" xfId="0" applyNumberFormat="1" applyFont="1" applyFill="1" applyBorder="1" applyAlignment="1" applyProtection="1">
      <alignment horizontal="center" vertical="center"/>
    </xf>
    <xf numFmtId="0" fontId="1" fillId="4" borderId="19" xfId="0" applyFont="1" applyFill="1" applyBorder="1" applyAlignment="1" applyProtection="1">
      <alignment horizontal="center" vertical="center" wrapText="1"/>
      <protection hidden="1"/>
    </xf>
    <xf numFmtId="0" fontId="1" fillId="4" borderId="0" xfId="0" applyFont="1" applyFill="1" applyAlignment="1" applyProtection="1">
      <alignment horizontal="center" vertical="center" wrapText="1"/>
      <protection hidden="1"/>
    </xf>
    <xf numFmtId="176" fontId="1" fillId="4" borderId="4" xfId="0" applyNumberFormat="1" applyFont="1" applyFill="1" applyBorder="1" applyAlignment="1" applyProtection="1">
      <alignment horizontal="center" vertical="center"/>
      <protection hidden="1"/>
    </xf>
    <xf numFmtId="0" fontId="14" fillId="4" borderId="22" xfId="0" applyFont="1" applyFill="1" applyBorder="1" applyAlignment="1" applyProtection="1">
      <alignment horizontal="center" vertical="center" wrapText="1"/>
      <protection hidden="1"/>
    </xf>
    <xf numFmtId="0" fontId="14" fillId="4" borderId="23" xfId="0" applyFont="1" applyFill="1" applyBorder="1" applyAlignment="1" applyProtection="1">
      <alignment horizontal="center" vertical="center" wrapText="1"/>
      <protection hidden="1"/>
    </xf>
    <xf numFmtId="0" fontId="1" fillId="4" borderId="22" xfId="0" applyFont="1" applyFill="1" applyBorder="1" applyAlignment="1" applyProtection="1">
      <alignment horizontal="center" vertical="center" shrinkToFit="1"/>
      <protection hidden="1"/>
    </xf>
    <xf numFmtId="0" fontId="8" fillId="4" borderId="22" xfId="0" applyFont="1" applyFill="1" applyBorder="1" applyAlignment="1" applyProtection="1">
      <alignment horizontal="center" vertical="center" shrinkToFit="1"/>
      <protection hidden="1"/>
    </xf>
    <xf numFmtId="0" fontId="1" fillId="4" borderId="18" xfId="0" applyFont="1" applyFill="1" applyBorder="1" applyAlignment="1" applyProtection="1">
      <alignment horizontal="center" shrinkToFit="1"/>
      <protection hidden="1"/>
    </xf>
    <xf numFmtId="0" fontId="1" fillId="4" borderId="12" xfId="0" applyFont="1" applyFill="1" applyBorder="1" applyAlignment="1" applyProtection="1">
      <alignment horizontal="center" shrinkToFit="1"/>
      <protection hidden="1"/>
    </xf>
    <xf numFmtId="0" fontId="1" fillId="4" borderId="21" xfId="0" applyFont="1" applyFill="1" applyBorder="1" applyAlignment="1" applyProtection="1">
      <alignment horizontal="center" shrinkToFit="1"/>
      <protection hidden="1"/>
    </xf>
    <xf numFmtId="0" fontId="1" fillId="4" borderId="22" xfId="0" applyFont="1" applyFill="1" applyBorder="1" applyAlignment="1" applyProtection="1">
      <alignment horizontal="center" vertical="center" wrapText="1"/>
      <protection hidden="1"/>
    </xf>
    <xf numFmtId="0" fontId="1" fillId="4" borderId="23" xfId="0" applyFont="1" applyFill="1" applyBorder="1" applyAlignment="1" applyProtection="1">
      <alignment horizontal="center" vertical="center" wrapText="1"/>
      <protection hidden="1"/>
    </xf>
    <xf numFmtId="2" fontId="1" fillId="4" borderId="4" xfId="0" applyNumberFormat="1" applyFont="1" applyFill="1" applyBorder="1" applyAlignment="1" applyProtection="1">
      <alignment horizontal="center" vertical="center"/>
      <protection hidden="1"/>
    </xf>
    <xf numFmtId="0" fontId="1" fillId="4" borderId="15" xfId="0" applyFont="1" applyFill="1" applyBorder="1" applyAlignment="1" applyProtection="1">
      <alignment horizontal="center" shrinkToFit="1"/>
      <protection hidden="1"/>
    </xf>
    <xf numFmtId="0" fontId="1" fillId="4" borderId="8" xfId="0" applyFont="1" applyFill="1" applyBorder="1" applyAlignment="1" applyProtection="1">
      <alignment horizontal="center" shrinkToFit="1"/>
      <protection hidden="1"/>
    </xf>
    <xf numFmtId="0" fontId="1" fillId="4" borderId="14" xfId="0" applyFont="1" applyFill="1" applyBorder="1" applyAlignment="1" applyProtection="1">
      <alignment horizontal="center" shrinkToFit="1"/>
      <protection hidden="1"/>
    </xf>
    <xf numFmtId="0" fontId="1" fillId="4" borderId="18" xfId="0" applyFont="1" applyFill="1" applyBorder="1" applyAlignment="1" applyProtection="1">
      <alignment horizontal="center" wrapText="1" shrinkToFit="1"/>
      <protection hidden="1"/>
    </xf>
    <xf numFmtId="0" fontId="1" fillId="4" borderId="12" xfId="0" applyFont="1" applyFill="1" applyBorder="1" applyAlignment="1" applyProtection="1">
      <alignment horizontal="center" wrapText="1" shrinkToFit="1"/>
      <protection hidden="1"/>
    </xf>
    <xf numFmtId="0" fontId="1" fillId="4" borderId="21" xfId="0" applyFont="1" applyFill="1" applyBorder="1" applyAlignment="1" applyProtection="1">
      <alignment horizontal="center" wrapText="1" shrinkToFit="1"/>
      <protection hidden="1"/>
    </xf>
    <xf numFmtId="0" fontId="1" fillId="4" borderId="23" xfId="0" applyFont="1" applyFill="1" applyBorder="1" applyAlignment="1" applyProtection="1">
      <alignment horizontal="center" vertical="center" shrinkToFit="1"/>
      <protection hidden="1"/>
    </xf>
    <xf numFmtId="0" fontId="13" fillId="4" borderId="4" xfId="0" applyFont="1" applyFill="1" applyBorder="1" applyAlignment="1" applyProtection="1">
      <alignment horizontal="center" vertical="center" wrapText="1"/>
      <protection hidden="1"/>
    </xf>
    <xf numFmtId="0" fontId="13" fillId="4" borderId="23" xfId="0" applyFont="1" applyFill="1" applyBorder="1" applyAlignment="1" applyProtection="1">
      <alignment horizontal="center" vertical="center" wrapText="1"/>
      <protection hidden="1"/>
    </xf>
    <xf numFmtId="0" fontId="1" fillId="4" borderId="17" xfId="0" applyFont="1" applyFill="1" applyBorder="1" applyAlignment="1" applyProtection="1">
      <alignment horizontal="center" shrinkToFit="1"/>
      <protection hidden="1"/>
    </xf>
    <xf numFmtId="0" fontId="1" fillId="4" borderId="7" xfId="0" applyFont="1" applyFill="1" applyBorder="1" applyAlignment="1" applyProtection="1">
      <alignment horizontal="center" shrinkToFit="1"/>
      <protection hidden="1"/>
    </xf>
    <xf numFmtId="0" fontId="1" fillId="4" borderId="16" xfId="0" applyFont="1" applyFill="1" applyBorder="1" applyAlignment="1" applyProtection="1">
      <alignment horizontal="center" shrinkToFit="1"/>
      <protection hidden="1"/>
    </xf>
    <xf numFmtId="0" fontId="1" fillId="4" borderId="0" xfId="0" applyFont="1" applyFill="1" applyBorder="1" applyAlignment="1" applyProtection="1">
      <alignment horizontal="center" vertical="center" wrapText="1"/>
      <protection hidden="1"/>
    </xf>
    <xf numFmtId="0" fontId="1" fillId="4" borderId="20" xfId="0" applyFont="1" applyFill="1" applyBorder="1" applyAlignment="1" applyProtection="1">
      <alignment horizontal="center" vertical="center" wrapText="1"/>
      <protection hidden="1"/>
    </xf>
    <xf numFmtId="0" fontId="1" fillId="4" borderId="15" xfId="0" applyFont="1" applyFill="1" applyBorder="1" applyAlignment="1" applyProtection="1">
      <alignment horizontal="center" vertical="center" wrapText="1" shrinkToFit="1"/>
      <protection hidden="1"/>
    </xf>
    <xf numFmtId="0" fontId="1" fillId="4" borderId="8" xfId="0" applyFont="1" applyFill="1" applyBorder="1" applyAlignment="1" applyProtection="1">
      <alignment horizontal="center" vertical="center" wrapText="1" shrinkToFit="1"/>
      <protection hidden="1"/>
    </xf>
    <xf numFmtId="0" fontId="1" fillId="4" borderId="14" xfId="0" applyFont="1" applyFill="1" applyBorder="1" applyAlignment="1" applyProtection="1">
      <alignment horizontal="center" vertical="center" wrapText="1" shrinkToFit="1"/>
      <protection hidden="1"/>
    </xf>
    <xf numFmtId="0" fontId="1" fillId="4" borderId="17" xfId="0" applyFont="1" applyFill="1" applyBorder="1" applyAlignment="1" applyProtection="1">
      <alignment horizontal="center" vertical="center" wrapText="1" shrinkToFit="1"/>
      <protection hidden="1"/>
    </xf>
    <xf numFmtId="0" fontId="1" fillId="4" borderId="7" xfId="0" applyFont="1" applyFill="1" applyBorder="1" applyAlignment="1" applyProtection="1">
      <alignment horizontal="center" vertical="center" wrapText="1" shrinkToFit="1"/>
      <protection hidden="1"/>
    </xf>
    <xf numFmtId="0" fontId="1" fillId="4" borderId="16" xfId="0" applyFont="1" applyFill="1" applyBorder="1" applyAlignment="1" applyProtection="1">
      <alignment horizontal="center" vertical="center" wrapText="1" shrinkToFit="1"/>
      <protection hidden="1"/>
    </xf>
    <xf numFmtId="0" fontId="8" fillId="4" borderId="23" xfId="0" applyFont="1" applyFill="1" applyBorder="1" applyAlignment="1" applyProtection="1">
      <alignment horizontal="center" vertical="center" shrinkToFit="1"/>
      <protection hidden="1"/>
    </xf>
    <xf numFmtId="0" fontId="2" fillId="4" borderId="4" xfId="0" applyFont="1" applyFill="1" applyBorder="1" applyAlignment="1" applyProtection="1">
      <alignment horizontal="left" vertical="center" shrinkToFit="1"/>
    </xf>
    <xf numFmtId="0" fontId="1" fillId="8" borderId="17" xfId="0" applyFont="1" applyFill="1" applyBorder="1" applyAlignment="1" applyProtection="1">
      <alignment horizontal="center" vertical="center"/>
    </xf>
    <xf numFmtId="0" fontId="1" fillId="8" borderId="16" xfId="0" applyFont="1" applyFill="1" applyBorder="1" applyAlignment="1" applyProtection="1">
      <alignment horizontal="center" vertical="center"/>
    </xf>
    <xf numFmtId="194" fontId="1" fillId="4" borderId="4" xfId="0" applyNumberFormat="1" applyFont="1" applyFill="1" applyBorder="1" applyAlignment="1" applyProtection="1">
      <alignment horizontal="center" vertical="center"/>
    </xf>
    <xf numFmtId="177" fontId="2" fillId="4" borderId="18" xfId="0" applyNumberFormat="1" applyFont="1" applyFill="1" applyBorder="1" applyAlignment="1" applyProtection="1">
      <alignment horizontal="center" vertical="center"/>
    </xf>
    <xf numFmtId="177" fontId="2" fillId="4" borderId="21" xfId="0" applyNumberFormat="1" applyFont="1" applyFill="1" applyBorder="1" applyAlignment="1" applyProtection="1">
      <alignment horizontal="center" vertical="center"/>
    </xf>
    <xf numFmtId="194" fontId="2" fillId="4" borderId="18" xfId="0" applyNumberFormat="1" applyFont="1" applyFill="1" applyBorder="1" applyAlignment="1" applyProtection="1">
      <alignment horizontal="center" vertical="center"/>
    </xf>
    <xf numFmtId="194" fontId="2" fillId="4" borderId="21" xfId="0" applyNumberFormat="1" applyFont="1" applyFill="1" applyBorder="1" applyAlignment="1" applyProtection="1">
      <alignment horizontal="center" vertical="center"/>
    </xf>
    <xf numFmtId="203" fontId="1" fillId="8" borderId="4" xfId="0" applyNumberFormat="1" applyFont="1" applyFill="1" applyBorder="1" applyAlignment="1" applyProtection="1">
      <alignment horizontal="center" vertical="center"/>
    </xf>
    <xf numFmtId="0" fontId="1" fillId="4" borderId="4" xfId="0" applyNumberFormat="1" applyFont="1" applyFill="1" applyBorder="1" applyAlignment="1" applyProtection="1">
      <alignment horizontal="center" vertical="center"/>
    </xf>
    <xf numFmtId="177" fontId="2" fillId="4" borderId="23" xfId="0" applyNumberFormat="1" applyFont="1" applyFill="1" applyBorder="1" applyAlignment="1">
      <alignment horizontal="center" vertical="center"/>
    </xf>
    <xf numFmtId="0" fontId="8" fillId="0" borderId="22" xfId="0" applyFont="1" applyFill="1" applyBorder="1" applyAlignment="1">
      <alignment horizontal="center" vertical="center" wrapText="1"/>
    </xf>
    <xf numFmtId="0" fontId="3" fillId="8" borderId="19" xfId="0" applyFont="1" applyFill="1" applyBorder="1" applyAlignment="1" applyProtection="1">
      <alignment horizontal="left" vertical="center"/>
    </xf>
    <xf numFmtId="0" fontId="3" fillId="8" borderId="0" xfId="0" applyFont="1" applyFill="1" applyBorder="1" applyAlignment="1" applyProtection="1">
      <alignment horizontal="left" vertical="center"/>
    </xf>
    <xf numFmtId="0" fontId="3" fillId="8" borderId="20" xfId="0" applyFont="1" applyFill="1" applyBorder="1" applyAlignment="1" applyProtection="1">
      <alignment horizontal="left" vertical="center"/>
    </xf>
    <xf numFmtId="194" fontId="1" fillId="0" borderId="4" xfId="0" applyNumberFormat="1" applyFont="1" applyFill="1" applyBorder="1" applyAlignment="1">
      <alignment horizontal="center" vertical="center"/>
    </xf>
    <xf numFmtId="0" fontId="1" fillId="3" borderId="17"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203" fontId="1" fillId="2" borderId="4" xfId="0" applyNumberFormat="1" applyFont="1" applyFill="1" applyBorder="1" applyAlignment="1" applyProtection="1">
      <alignment horizontal="center" vertical="center"/>
      <protection locked="0"/>
    </xf>
    <xf numFmtId="0" fontId="1" fillId="4" borderId="4" xfId="0" applyFont="1" applyFill="1" applyBorder="1" applyAlignment="1" applyProtection="1">
      <alignment horizontal="center" wrapText="1" shrinkToFit="1"/>
      <protection hidden="1"/>
    </xf>
    <xf numFmtId="184" fontId="1" fillId="4" borderId="8" xfId="0" applyNumberFormat="1" applyFont="1" applyFill="1" applyBorder="1" applyAlignment="1" applyProtection="1">
      <alignment horizontal="center" vertical="top"/>
      <protection hidden="1"/>
    </xf>
    <xf numFmtId="0" fontId="13" fillId="4" borderId="18" xfId="0" applyFont="1" applyFill="1" applyBorder="1" applyAlignment="1" applyProtection="1">
      <alignment horizontal="left" vertical="center" shrinkToFit="1"/>
      <protection hidden="1"/>
    </xf>
    <xf numFmtId="0" fontId="13" fillId="4" borderId="12" xfId="0" applyFont="1" applyFill="1" applyBorder="1" applyAlignment="1" applyProtection="1">
      <alignment horizontal="left" vertical="center" shrinkToFit="1"/>
      <protection hidden="1"/>
    </xf>
    <xf numFmtId="203" fontId="1" fillId="0" borderId="4" xfId="0" applyNumberFormat="1" applyFont="1" applyFill="1" applyBorder="1" applyAlignment="1">
      <alignment horizontal="center" vertical="center"/>
    </xf>
    <xf numFmtId="203" fontId="2" fillId="0" borderId="4" xfId="0" applyNumberFormat="1" applyFont="1" applyBorder="1" applyAlignment="1">
      <alignment horizontal="center" vertical="center"/>
    </xf>
    <xf numFmtId="177" fontId="2" fillId="0" borderId="0" xfId="0" applyNumberFormat="1" applyFont="1" applyFill="1" applyBorder="1" applyAlignment="1">
      <alignment horizontal="center" vertical="center"/>
    </xf>
    <xf numFmtId="0" fontId="1" fillId="4" borderId="4" xfId="0" applyFont="1" applyFill="1" applyBorder="1" applyAlignment="1" applyProtection="1">
      <alignment horizontal="left" vertical="center" shrinkToFit="1"/>
      <protection hidden="1"/>
    </xf>
    <xf numFmtId="0" fontId="1" fillId="4" borderId="15" xfId="0" applyFont="1" applyFill="1" applyBorder="1" applyAlignment="1" applyProtection="1">
      <alignment horizontal="center" vertical="center"/>
      <protection hidden="1"/>
    </xf>
    <xf numFmtId="0" fontId="1" fillId="4" borderId="8" xfId="0" applyFont="1" applyFill="1" applyBorder="1" applyAlignment="1" applyProtection="1">
      <alignment horizontal="center" vertical="center"/>
      <protection hidden="1"/>
    </xf>
    <xf numFmtId="0" fontId="1" fillId="4" borderId="14" xfId="0" applyFont="1" applyFill="1" applyBorder="1" applyAlignment="1" applyProtection="1">
      <alignment horizontal="center" vertical="center"/>
      <protection hidden="1"/>
    </xf>
    <xf numFmtId="0" fontId="1" fillId="4" borderId="17" xfId="0" applyFont="1" applyFill="1" applyBorder="1" applyAlignment="1" applyProtection="1">
      <alignment horizontal="center" vertical="center"/>
      <protection hidden="1"/>
    </xf>
    <xf numFmtId="0" fontId="1" fillId="4" borderId="16" xfId="0" applyFont="1" applyFill="1" applyBorder="1" applyAlignment="1" applyProtection="1">
      <alignment horizontal="center" vertical="center"/>
      <protection hidden="1"/>
    </xf>
    <xf numFmtId="0" fontId="10" fillId="4" borderId="22" xfId="0" applyFont="1" applyFill="1" applyBorder="1" applyAlignment="1" applyProtection="1">
      <alignment horizontal="center" vertical="center" wrapText="1"/>
      <protection hidden="1"/>
    </xf>
    <xf numFmtId="0" fontId="10" fillId="4" borderId="23" xfId="0" applyFont="1" applyFill="1" applyBorder="1" applyAlignment="1" applyProtection="1">
      <alignment horizontal="center" vertical="center" wrapText="1"/>
      <protection hidden="1"/>
    </xf>
    <xf numFmtId="2" fontId="1" fillId="4" borderId="18" xfId="0" applyNumberFormat="1" applyFont="1" applyFill="1" applyBorder="1" applyAlignment="1" applyProtection="1">
      <alignment horizontal="center" vertical="center" shrinkToFit="1"/>
      <protection hidden="1"/>
    </xf>
    <xf numFmtId="2" fontId="1" fillId="4" borderId="21" xfId="0" applyNumberFormat="1" applyFont="1" applyFill="1" applyBorder="1" applyAlignment="1" applyProtection="1">
      <alignment horizontal="center" vertical="center" shrinkToFit="1"/>
      <protection hidden="1"/>
    </xf>
    <xf numFmtId="177" fontId="2" fillId="4" borderId="0" xfId="0" applyNumberFormat="1" applyFont="1" applyFill="1" applyAlignment="1">
      <alignment horizontal="center" vertical="center"/>
    </xf>
    <xf numFmtId="0" fontId="2" fillId="4" borderId="18"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2" fontId="1" fillId="4" borderId="18" xfId="0" applyNumberFormat="1" applyFont="1" applyFill="1" applyBorder="1" applyAlignment="1" applyProtection="1">
      <alignment horizontal="center" shrinkToFit="1"/>
      <protection hidden="1"/>
    </xf>
    <xf numFmtId="2" fontId="1" fillId="4" borderId="12" xfId="0" applyNumberFormat="1" applyFont="1" applyFill="1" applyBorder="1" applyAlignment="1" applyProtection="1">
      <alignment horizontal="center" shrinkToFit="1"/>
      <protection hidden="1"/>
    </xf>
    <xf numFmtId="2" fontId="1" fillId="4" borderId="21" xfId="0" applyNumberFormat="1" applyFont="1" applyFill="1" applyBorder="1" applyAlignment="1" applyProtection="1">
      <alignment horizontal="center" shrinkToFit="1"/>
      <protection hidden="1"/>
    </xf>
    <xf numFmtId="2" fontId="2" fillId="0" borderId="0" xfId="0" applyNumberFormat="1" applyFont="1" applyBorder="1">
      <alignment vertical="center"/>
    </xf>
    <xf numFmtId="2" fontId="1" fillId="0" borderId="0" xfId="0" applyNumberFormat="1" applyFont="1" applyFill="1" applyBorder="1" applyAlignment="1">
      <alignment vertical="center"/>
    </xf>
    <xf numFmtId="195" fontId="1" fillId="0" borderId="0" xfId="0" applyNumberFormat="1" applyFont="1" applyFill="1" applyBorder="1" applyAlignment="1">
      <alignment horizontal="center" vertical="center"/>
    </xf>
    <xf numFmtId="0" fontId="2" fillId="9" borderId="0" xfId="0" applyFont="1" applyFill="1" applyAlignment="1" applyProtection="1">
      <alignment horizontal="centerContinuous" vertical="center"/>
      <protection hidden="1"/>
    </xf>
  </cellXfs>
  <cellStyles count="2">
    <cellStyle name="ハイパーリンク" xfId="1" builtinId="8"/>
    <cellStyle name="標準" xfId="0" builtinId="0"/>
  </cellStyles>
  <dxfs count="85">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mruColors>
      <color rgb="FFCCFFCC"/>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8.tiff"/><Relationship Id="rId2" Type="http://schemas.openxmlformats.org/officeDocument/2006/relationships/image" Target="../media/image7.tiff"/><Relationship Id="rId1" Type="http://schemas.openxmlformats.org/officeDocument/2006/relationships/image" Target="../media/image6.emf"/><Relationship Id="rId5" Type="http://schemas.openxmlformats.org/officeDocument/2006/relationships/image" Target="../media/image10.jpg"/><Relationship Id="rId4" Type="http://schemas.openxmlformats.org/officeDocument/2006/relationships/image" Target="../media/image9.jpg"/></Relationships>
</file>

<file path=xl/drawings/_rels/drawing7.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5.png"/><Relationship Id="rId1" Type="http://schemas.openxmlformats.org/officeDocument/2006/relationships/image" Target="../media/image12.png"/><Relationship Id="rId4"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28</xdr:col>
      <xdr:colOff>1</xdr:colOff>
      <xdr:row>18</xdr:row>
      <xdr:rowOff>9525</xdr:rowOff>
    </xdr:from>
    <xdr:to>
      <xdr:col>29</xdr:col>
      <xdr:colOff>0</xdr:colOff>
      <xdr:row>22</xdr:row>
      <xdr:rowOff>14288</xdr:rowOff>
    </xdr:to>
    <xdr:sp macro="" textlink="">
      <xdr:nvSpPr>
        <xdr:cNvPr id="2" name="右大かっこ 1">
          <a:extLst>
            <a:ext uri="{FF2B5EF4-FFF2-40B4-BE49-F238E27FC236}">
              <a16:creationId xmlns:a16="http://schemas.microsoft.com/office/drawing/2014/main" id="{F2624BE7-EC38-48B0-BE79-DBF6C39C33BC}"/>
            </a:ext>
          </a:extLst>
        </xdr:cNvPr>
        <xdr:cNvSpPr/>
      </xdr:nvSpPr>
      <xdr:spPr>
        <a:xfrm>
          <a:off x="4933951" y="4057650"/>
          <a:ext cx="176212" cy="652463"/>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72</xdr:col>
      <xdr:colOff>1</xdr:colOff>
      <xdr:row>0</xdr:row>
      <xdr:rowOff>1</xdr:rowOff>
    </xdr:from>
    <xdr:to>
      <xdr:col>107</xdr:col>
      <xdr:colOff>152401</xdr:colOff>
      <xdr:row>51</xdr:row>
      <xdr:rowOff>84167</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1" y="1"/>
          <a:ext cx="6819900" cy="88281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320675</xdr:colOff>
      <xdr:row>200</xdr:row>
      <xdr:rowOff>0</xdr:rowOff>
    </xdr:from>
    <xdr:to>
      <xdr:col>17</xdr:col>
      <xdr:colOff>0</xdr:colOff>
      <xdr:row>200</xdr:row>
      <xdr:rowOff>175895</xdr:rowOff>
    </xdr:to>
    <xdr:sp macro="" textlink="">
      <xdr:nvSpPr>
        <xdr:cNvPr id="3" name="図形 17">
          <a:extLst>
            <a:ext uri="{FF2B5EF4-FFF2-40B4-BE49-F238E27FC236}">
              <a16:creationId xmlns:a16="http://schemas.microsoft.com/office/drawing/2014/main" id="{A5A6F45A-111A-41EA-A074-66C08D68685D}"/>
            </a:ext>
          </a:extLst>
        </xdr:cNvPr>
        <xdr:cNvSpPr/>
      </xdr:nvSpPr>
      <xdr:spPr>
        <a:xfrm>
          <a:off x="2292350" y="39947850"/>
          <a:ext cx="3294063" cy="175895"/>
        </a:xfrm>
        <a:custGeom>
          <a:avLst/>
          <a:gdLst/>
          <a:ahLst/>
          <a:cxnLst>
            <a:cxn ang="0">
              <a:pos x="0" y="20566337"/>
            </a:cxn>
            <a:cxn ang="0">
              <a:pos x="1163517938" y="17825523"/>
            </a:cxn>
            <a:cxn ang="0">
              <a:pos x="2028504036" y="34278586"/>
            </a:cxn>
            <a:cxn ang="0">
              <a:pos x="2147483647" y="0"/>
            </a:cxn>
            <a:cxn ang="0">
              <a:pos x="2147483647" y="0"/>
            </a:cxn>
          </a:cxnLst>
          <a:rect l="0" t="0" r="0" b="0"/>
          <a:pathLst>
            <a:path w="16384" h="16384">
              <a:moveTo>
                <a:pt x="0" y="9830"/>
              </a:moveTo>
              <a:lnTo>
                <a:pt x="152" y="8520"/>
              </a:lnTo>
              <a:lnTo>
                <a:pt x="265" y="16384"/>
              </a:lnTo>
              <a:lnTo>
                <a:pt x="569" y="0"/>
              </a:lnTo>
              <a:lnTo>
                <a:pt x="16384" y="0"/>
              </a:lnTo>
            </a:path>
          </a:pathLst>
        </a:custGeom>
        <a:noFill/>
        <a:ln w="9525" cap="flat" cmpd="sng">
          <a:solidFill>
            <a:srgbClr val="000000"/>
          </a:solidFill>
          <a:prstDash val="solid"/>
          <a:round/>
          <a:headEnd type="none" w="med" len="med"/>
          <a:tailEnd type="none" w="med" len="med"/>
        </a:ln>
      </xdr:spPr>
    </xdr:sp>
    <xdr:clientData/>
  </xdr:twoCellAnchor>
  <xdr:twoCellAnchor>
    <xdr:from>
      <xdr:col>5</xdr:col>
      <xdr:colOff>217805</xdr:colOff>
      <xdr:row>240</xdr:row>
      <xdr:rowOff>0</xdr:rowOff>
    </xdr:from>
    <xdr:to>
      <xdr:col>9</xdr:col>
      <xdr:colOff>0</xdr:colOff>
      <xdr:row>242</xdr:row>
      <xdr:rowOff>10160</xdr:rowOff>
    </xdr:to>
    <xdr:sp macro="" textlink="">
      <xdr:nvSpPr>
        <xdr:cNvPr id="5" name="図形 16">
          <a:extLst>
            <a:ext uri="{FF2B5EF4-FFF2-40B4-BE49-F238E27FC236}">
              <a16:creationId xmlns:a16="http://schemas.microsoft.com/office/drawing/2014/main" id="{6D4D7A9B-0A8D-406D-86DE-2C23C4598A36}"/>
            </a:ext>
          </a:extLst>
        </xdr:cNvPr>
        <xdr:cNvSpPr/>
      </xdr:nvSpPr>
      <xdr:spPr>
        <a:xfrm>
          <a:off x="1860868" y="48996600"/>
          <a:ext cx="1096645" cy="372110"/>
        </a:xfrm>
        <a:custGeom>
          <a:avLst/>
          <a:gdLst/>
          <a:ahLst/>
          <a:cxnLst>
            <a:cxn ang="0">
              <a:pos x="0" y="18911373"/>
            </a:cxn>
            <a:cxn ang="0">
              <a:pos x="202367636" y="15367212"/>
            </a:cxn>
            <a:cxn ang="0">
              <a:pos x="337998195" y="33096542"/>
            </a:cxn>
            <a:cxn ang="0">
              <a:pos x="337998195" y="34278586"/>
            </a:cxn>
            <a:cxn ang="0">
              <a:pos x="405456521" y="34278586"/>
            </a:cxn>
            <a:cxn ang="0">
              <a:pos x="1013288825" y="0"/>
            </a:cxn>
            <a:cxn ang="0">
              <a:pos x="2147483647" y="0"/>
            </a:cxn>
            <a:cxn ang="0">
              <a:pos x="2147483647" y="0"/>
            </a:cxn>
          </a:cxnLst>
          <a:rect l="0" t="0" r="0" b="0"/>
          <a:pathLst>
            <a:path w="16384" h="16384">
              <a:moveTo>
                <a:pt x="0" y="9039"/>
              </a:moveTo>
              <a:lnTo>
                <a:pt x="282" y="7345"/>
              </a:lnTo>
              <a:lnTo>
                <a:pt x="471" y="15819"/>
              </a:lnTo>
              <a:lnTo>
                <a:pt x="471" y="16384"/>
              </a:lnTo>
              <a:lnTo>
                <a:pt x="565" y="16384"/>
              </a:lnTo>
              <a:lnTo>
                <a:pt x="1412" y="0"/>
              </a:lnTo>
              <a:lnTo>
                <a:pt x="16384" y="0"/>
              </a:lnTo>
              <a:lnTo>
                <a:pt x="16290" y="0"/>
              </a:lnTo>
            </a:path>
          </a:pathLst>
        </a:custGeom>
        <a:noFill/>
        <a:ln w="9525" cap="flat" cmpd="sng">
          <a:solidFill>
            <a:srgbClr val="000000"/>
          </a:solidFill>
          <a:prstDash val="solid"/>
          <a:round/>
          <a:headEnd type="none" w="med" len="med"/>
          <a:tailEnd type="none" w="med" len="med"/>
        </a:ln>
      </xdr:spPr>
    </xdr:sp>
    <xdr:clientData/>
  </xdr:twoCellAnchor>
  <xdr:twoCellAnchor>
    <xdr:from>
      <xdr:col>7</xdr:col>
      <xdr:colOff>234315</xdr:colOff>
      <xdr:row>234</xdr:row>
      <xdr:rowOff>10160</xdr:rowOff>
    </xdr:from>
    <xdr:to>
      <xdr:col>13</xdr:col>
      <xdr:colOff>320675</xdr:colOff>
      <xdr:row>234</xdr:row>
      <xdr:rowOff>152400</xdr:rowOff>
    </xdr:to>
    <xdr:sp macro="" textlink="">
      <xdr:nvSpPr>
        <xdr:cNvPr id="6" name="図形 16">
          <a:extLst>
            <a:ext uri="{FF2B5EF4-FFF2-40B4-BE49-F238E27FC236}">
              <a16:creationId xmlns:a16="http://schemas.microsoft.com/office/drawing/2014/main" id="{B81017D9-E712-4BF9-A5AB-16FBDDD5819F}"/>
            </a:ext>
          </a:extLst>
        </xdr:cNvPr>
        <xdr:cNvSpPr/>
      </xdr:nvSpPr>
      <xdr:spPr>
        <a:xfrm>
          <a:off x="2534603" y="47920910"/>
          <a:ext cx="2058035" cy="142240"/>
        </a:xfrm>
        <a:custGeom>
          <a:avLst/>
          <a:gdLst/>
          <a:ahLst/>
          <a:cxnLst>
            <a:cxn ang="0">
              <a:pos x="0" y="18911373"/>
            </a:cxn>
            <a:cxn ang="0">
              <a:pos x="202367636" y="15367212"/>
            </a:cxn>
            <a:cxn ang="0">
              <a:pos x="337998195" y="33096542"/>
            </a:cxn>
            <a:cxn ang="0">
              <a:pos x="337998195" y="34278586"/>
            </a:cxn>
            <a:cxn ang="0">
              <a:pos x="405456521" y="34278586"/>
            </a:cxn>
            <a:cxn ang="0">
              <a:pos x="1013288825" y="0"/>
            </a:cxn>
            <a:cxn ang="0">
              <a:pos x="2147483647" y="0"/>
            </a:cxn>
            <a:cxn ang="0">
              <a:pos x="2147483647" y="0"/>
            </a:cxn>
          </a:cxnLst>
          <a:rect l="0" t="0" r="0" b="0"/>
          <a:pathLst>
            <a:path w="16384" h="16384">
              <a:moveTo>
                <a:pt x="0" y="9039"/>
              </a:moveTo>
              <a:lnTo>
                <a:pt x="282" y="7345"/>
              </a:lnTo>
              <a:lnTo>
                <a:pt x="471" y="15819"/>
              </a:lnTo>
              <a:lnTo>
                <a:pt x="471" y="16384"/>
              </a:lnTo>
              <a:lnTo>
                <a:pt x="565" y="16384"/>
              </a:lnTo>
              <a:lnTo>
                <a:pt x="1412" y="0"/>
              </a:lnTo>
              <a:lnTo>
                <a:pt x="16384" y="0"/>
              </a:lnTo>
              <a:lnTo>
                <a:pt x="16290" y="0"/>
              </a:lnTo>
            </a:path>
          </a:pathLst>
        </a:custGeom>
        <a:noFill/>
        <a:ln w="9525" cap="flat" cmpd="sng">
          <a:solidFill>
            <a:srgbClr val="000000"/>
          </a:solidFill>
          <a:prstDash val="solid"/>
          <a:round/>
          <a:headEnd type="none" w="med" len="med"/>
          <a:tailEnd type="none" w="med" len="med"/>
        </a:ln>
      </xdr:spPr>
    </xdr:sp>
    <xdr:clientData/>
  </xdr:twoCellAnchor>
  <xdr:twoCellAnchor>
    <xdr:from>
      <xdr:col>10</xdr:col>
      <xdr:colOff>165735</xdr:colOff>
      <xdr:row>240</xdr:row>
      <xdr:rowOff>0</xdr:rowOff>
    </xdr:from>
    <xdr:to>
      <xdr:col>15</xdr:col>
      <xdr:colOff>0</xdr:colOff>
      <xdr:row>242</xdr:row>
      <xdr:rowOff>41275</xdr:rowOff>
    </xdr:to>
    <xdr:sp macro="" textlink="">
      <xdr:nvSpPr>
        <xdr:cNvPr id="7" name="図形 16">
          <a:extLst>
            <a:ext uri="{FF2B5EF4-FFF2-40B4-BE49-F238E27FC236}">
              <a16:creationId xmlns:a16="http://schemas.microsoft.com/office/drawing/2014/main" id="{84586380-60EC-4801-A67C-3C163EA0D3D4}"/>
            </a:ext>
          </a:extLst>
        </xdr:cNvPr>
        <xdr:cNvSpPr/>
      </xdr:nvSpPr>
      <xdr:spPr>
        <a:xfrm>
          <a:off x="3451860" y="48996600"/>
          <a:ext cx="1477328" cy="403225"/>
        </a:xfrm>
        <a:custGeom>
          <a:avLst/>
          <a:gdLst/>
          <a:ahLst/>
          <a:cxnLst>
            <a:cxn ang="0">
              <a:pos x="0" y="18911373"/>
            </a:cxn>
            <a:cxn ang="0">
              <a:pos x="202367636" y="15367212"/>
            </a:cxn>
            <a:cxn ang="0">
              <a:pos x="337998195" y="33096542"/>
            </a:cxn>
            <a:cxn ang="0">
              <a:pos x="337998195" y="34278586"/>
            </a:cxn>
            <a:cxn ang="0">
              <a:pos x="405456521" y="34278586"/>
            </a:cxn>
            <a:cxn ang="0">
              <a:pos x="1013288825" y="0"/>
            </a:cxn>
            <a:cxn ang="0">
              <a:pos x="2147483647" y="0"/>
            </a:cxn>
            <a:cxn ang="0">
              <a:pos x="2147483647" y="0"/>
            </a:cxn>
          </a:cxnLst>
          <a:rect l="0" t="0" r="0" b="0"/>
          <a:pathLst>
            <a:path w="16384" h="16384">
              <a:moveTo>
                <a:pt x="0" y="9039"/>
              </a:moveTo>
              <a:lnTo>
                <a:pt x="282" y="7345"/>
              </a:lnTo>
              <a:lnTo>
                <a:pt x="471" y="15819"/>
              </a:lnTo>
              <a:lnTo>
                <a:pt x="471" y="16384"/>
              </a:lnTo>
              <a:lnTo>
                <a:pt x="565" y="16384"/>
              </a:lnTo>
              <a:lnTo>
                <a:pt x="1412" y="0"/>
              </a:lnTo>
              <a:lnTo>
                <a:pt x="16384" y="0"/>
              </a:lnTo>
              <a:lnTo>
                <a:pt x="16290" y="0"/>
              </a:lnTo>
            </a:path>
          </a:pathLst>
        </a:custGeom>
        <a:noFill/>
        <a:ln w="9525" cap="flat" cmpd="sng">
          <a:solidFill>
            <a:srgbClr val="000000"/>
          </a:solidFill>
          <a:prstDash val="solid"/>
          <a:round/>
          <a:headEnd type="none" w="med" len="med"/>
          <a:tailEnd type="none" w="med" len="med"/>
        </a:ln>
      </xdr:spPr>
    </xdr:sp>
    <xdr:clientData/>
  </xdr:twoCellAnchor>
  <xdr:twoCellAnchor>
    <xdr:from>
      <xdr:col>6</xdr:col>
      <xdr:colOff>196850</xdr:colOff>
      <xdr:row>246</xdr:row>
      <xdr:rowOff>8890</xdr:rowOff>
    </xdr:from>
    <xdr:to>
      <xdr:col>12</xdr:col>
      <xdr:colOff>23495</xdr:colOff>
      <xdr:row>246</xdr:row>
      <xdr:rowOff>160020</xdr:rowOff>
    </xdr:to>
    <xdr:sp macro="" textlink="">
      <xdr:nvSpPr>
        <xdr:cNvPr id="8" name="図形 16">
          <a:extLst>
            <a:ext uri="{FF2B5EF4-FFF2-40B4-BE49-F238E27FC236}">
              <a16:creationId xmlns:a16="http://schemas.microsoft.com/office/drawing/2014/main" id="{1471C3B6-26AB-40EA-9AB2-FAA9EB1252D3}"/>
            </a:ext>
          </a:extLst>
        </xdr:cNvPr>
        <xdr:cNvSpPr/>
      </xdr:nvSpPr>
      <xdr:spPr>
        <a:xfrm>
          <a:off x="2168525" y="50091340"/>
          <a:ext cx="1798320" cy="151130"/>
        </a:xfrm>
        <a:custGeom>
          <a:avLst/>
          <a:gdLst/>
          <a:ahLst/>
          <a:cxnLst>
            <a:cxn ang="0">
              <a:pos x="0" y="18911373"/>
            </a:cxn>
            <a:cxn ang="0">
              <a:pos x="202367636" y="15367212"/>
            </a:cxn>
            <a:cxn ang="0">
              <a:pos x="337998195" y="33096542"/>
            </a:cxn>
            <a:cxn ang="0">
              <a:pos x="337998195" y="34278586"/>
            </a:cxn>
            <a:cxn ang="0">
              <a:pos x="405456521" y="34278586"/>
            </a:cxn>
            <a:cxn ang="0">
              <a:pos x="1013288825" y="0"/>
            </a:cxn>
            <a:cxn ang="0">
              <a:pos x="2147483647" y="0"/>
            </a:cxn>
            <a:cxn ang="0">
              <a:pos x="2147483647" y="0"/>
            </a:cxn>
          </a:cxnLst>
          <a:rect l="0" t="0" r="0" b="0"/>
          <a:pathLst>
            <a:path w="16384" h="16384">
              <a:moveTo>
                <a:pt x="0" y="9039"/>
              </a:moveTo>
              <a:lnTo>
                <a:pt x="282" y="7345"/>
              </a:lnTo>
              <a:lnTo>
                <a:pt x="471" y="15819"/>
              </a:lnTo>
              <a:lnTo>
                <a:pt x="471" y="16384"/>
              </a:lnTo>
              <a:lnTo>
                <a:pt x="565" y="16384"/>
              </a:lnTo>
              <a:lnTo>
                <a:pt x="1412" y="0"/>
              </a:lnTo>
              <a:lnTo>
                <a:pt x="16384" y="0"/>
              </a:lnTo>
              <a:lnTo>
                <a:pt x="16290" y="0"/>
              </a:lnTo>
            </a:path>
          </a:pathLst>
        </a:custGeom>
        <a:noFill/>
        <a:ln w="9525" cap="flat" cmpd="sng">
          <a:solidFill>
            <a:srgbClr val="000000"/>
          </a:solidFill>
          <a:prstDash val="solid"/>
          <a:round/>
          <a:headEnd type="none" w="med" len="med"/>
          <a:tailEnd type="none" w="med" len="med"/>
        </a:ln>
      </xdr:spPr>
    </xdr:sp>
    <xdr:clientData/>
  </xdr:twoCellAnchor>
  <xdr:twoCellAnchor>
    <xdr:from>
      <xdr:col>11</xdr:col>
      <xdr:colOff>213995</xdr:colOff>
      <xdr:row>247</xdr:row>
      <xdr:rowOff>0</xdr:rowOff>
    </xdr:from>
    <xdr:to>
      <xdr:col>16</xdr:col>
      <xdr:colOff>0</xdr:colOff>
      <xdr:row>247</xdr:row>
      <xdr:rowOff>155575</xdr:rowOff>
    </xdr:to>
    <xdr:sp macro="" textlink="">
      <xdr:nvSpPr>
        <xdr:cNvPr id="9" name="図形 16">
          <a:extLst>
            <a:ext uri="{FF2B5EF4-FFF2-40B4-BE49-F238E27FC236}">
              <a16:creationId xmlns:a16="http://schemas.microsoft.com/office/drawing/2014/main" id="{F6390A61-7147-472D-BCBC-7C02D7B12D18}"/>
            </a:ext>
          </a:extLst>
        </xdr:cNvPr>
        <xdr:cNvSpPr/>
      </xdr:nvSpPr>
      <xdr:spPr>
        <a:xfrm>
          <a:off x="3828733" y="50282475"/>
          <a:ext cx="1429067" cy="155575"/>
        </a:xfrm>
        <a:custGeom>
          <a:avLst/>
          <a:gdLst/>
          <a:ahLst/>
          <a:cxnLst>
            <a:cxn ang="0">
              <a:pos x="0" y="18911373"/>
            </a:cxn>
            <a:cxn ang="0">
              <a:pos x="202367636" y="15367212"/>
            </a:cxn>
            <a:cxn ang="0">
              <a:pos x="337998195" y="33096542"/>
            </a:cxn>
            <a:cxn ang="0">
              <a:pos x="337998195" y="34278586"/>
            </a:cxn>
            <a:cxn ang="0">
              <a:pos x="405456521" y="34278586"/>
            </a:cxn>
            <a:cxn ang="0">
              <a:pos x="1013288825" y="0"/>
            </a:cxn>
            <a:cxn ang="0">
              <a:pos x="2147483647" y="0"/>
            </a:cxn>
            <a:cxn ang="0">
              <a:pos x="2147483647" y="0"/>
            </a:cxn>
          </a:cxnLst>
          <a:rect l="0" t="0" r="0" b="0"/>
          <a:pathLst>
            <a:path w="16384" h="16384">
              <a:moveTo>
                <a:pt x="0" y="9039"/>
              </a:moveTo>
              <a:lnTo>
                <a:pt x="282" y="7345"/>
              </a:lnTo>
              <a:lnTo>
                <a:pt x="471" y="15819"/>
              </a:lnTo>
              <a:lnTo>
                <a:pt x="471" y="16384"/>
              </a:lnTo>
              <a:lnTo>
                <a:pt x="565" y="16384"/>
              </a:lnTo>
              <a:lnTo>
                <a:pt x="1412" y="0"/>
              </a:lnTo>
              <a:lnTo>
                <a:pt x="16384" y="0"/>
              </a:lnTo>
              <a:lnTo>
                <a:pt x="16290" y="0"/>
              </a:lnTo>
            </a:path>
          </a:pathLst>
        </a:custGeom>
        <a:noFill/>
        <a:ln w="9525" cap="flat" cmpd="sng">
          <a:solidFill>
            <a:srgbClr val="000000"/>
          </a:solidFill>
          <a:prstDash val="solid"/>
          <a:round/>
          <a:headEnd type="none" w="med" len="med"/>
          <a:tailEnd type="none" w="med" len="med"/>
        </a:ln>
      </xdr:spPr>
    </xdr:sp>
    <xdr:clientData/>
  </xdr:twoCellAnchor>
  <xdr:twoCellAnchor>
    <xdr:from>
      <xdr:col>43</xdr:col>
      <xdr:colOff>0</xdr:colOff>
      <xdr:row>21</xdr:row>
      <xdr:rowOff>0</xdr:rowOff>
    </xdr:from>
    <xdr:to>
      <xdr:col>57</xdr:col>
      <xdr:colOff>0</xdr:colOff>
      <xdr:row>32</xdr:row>
      <xdr:rowOff>0</xdr:rowOff>
    </xdr:to>
    <xdr:grpSp>
      <xdr:nvGrpSpPr>
        <xdr:cNvPr id="87" name="グループ化 86"/>
        <xdr:cNvGrpSpPr/>
      </xdr:nvGrpSpPr>
      <xdr:grpSpPr>
        <a:xfrm>
          <a:off x="12821478" y="3652630"/>
          <a:ext cx="0" cy="1913283"/>
          <a:chOff x="15253138" y="3245069"/>
          <a:chExt cx="4966138" cy="1878724"/>
        </a:xfrm>
      </xdr:grpSpPr>
      <xdr:cxnSp macro="">
        <xdr:nvCxnSpPr>
          <xdr:cNvPr id="11" name="直線コネクタ 10"/>
          <xdr:cNvCxnSpPr/>
        </xdr:nvCxnSpPr>
        <xdr:spPr>
          <a:xfrm>
            <a:off x="15615189" y="3415862"/>
            <a:ext cx="2837793" cy="0"/>
          </a:xfrm>
          <a:prstGeom prst="line">
            <a:avLst/>
          </a:prstGeom>
          <a:ln w="1905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18452982" y="3415862"/>
            <a:ext cx="0" cy="170793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flipH="1">
            <a:off x="17743534" y="4953000"/>
            <a:ext cx="709448"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a:xfrm flipH="1" flipV="1">
            <a:off x="17736207" y="4440621"/>
            <a:ext cx="7328" cy="51238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a:xfrm flipH="1" flipV="1">
            <a:off x="15609290" y="4284482"/>
            <a:ext cx="2126917" cy="170793"/>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flipV="1">
            <a:off x="15609290" y="3245069"/>
            <a:ext cx="5899" cy="1024759"/>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a:xfrm>
            <a:off x="18452982" y="3415862"/>
            <a:ext cx="35472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xdr:cNvCxnSpPr/>
        </xdr:nvCxnSpPr>
        <xdr:spPr>
          <a:xfrm flipH="1">
            <a:off x="19155103" y="3415862"/>
            <a:ext cx="7327" cy="853966"/>
          </a:xfrm>
          <a:prstGeom prst="straightConnector1">
            <a:avLst/>
          </a:prstGeom>
          <a:ln w="1270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xdr:cNvCxnSpPr/>
        </xdr:nvCxnSpPr>
        <xdr:spPr>
          <a:xfrm>
            <a:off x="18800379" y="3415862"/>
            <a:ext cx="0" cy="1537138"/>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18800379" y="4953000"/>
            <a:ext cx="1064173"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a:off x="18445655" y="5123793"/>
            <a:ext cx="1773621"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a:xfrm flipV="1">
            <a:off x="19864552" y="3245069"/>
            <a:ext cx="0" cy="1707932"/>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a:off x="19864552" y="3253352"/>
            <a:ext cx="35472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xdr:cNvCxnSpPr/>
        </xdr:nvCxnSpPr>
        <xdr:spPr>
          <a:xfrm>
            <a:off x="20219276" y="3245069"/>
            <a:ext cx="0" cy="1878724"/>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flipH="1">
            <a:off x="18445655" y="4782207"/>
            <a:ext cx="35472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xdr:cNvCxnSpPr/>
        </xdr:nvCxnSpPr>
        <xdr:spPr>
          <a:xfrm flipH="1">
            <a:off x="18445655" y="4447948"/>
            <a:ext cx="35472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a:off x="19864552" y="4953000"/>
            <a:ext cx="35472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19864552" y="4440621"/>
            <a:ext cx="35472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矢印コネクタ 56"/>
          <xdr:cNvCxnSpPr/>
        </xdr:nvCxnSpPr>
        <xdr:spPr>
          <a:xfrm>
            <a:off x="19155103" y="4269828"/>
            <a:ext cx="0" cy="341586"/>
          </a:xfrm>
          <a:prstGeom prst="straightConnector1">
            <a:avLst/>
          </a:prstGeom>
          <a:ln w="1270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直線矢印コネクタ 65"/>
          <xdr:cNvCxnSpPr/>
        </xdr:nvCxnSpPr>
        <xdr:spPr>
          <a:xfrm>
            <a:off x="19509828" y="3415862"/>
            <a:ext cx="0" cy="1195552"/>
          </a:xfrm>
          <a:prstGeom prst="straightConnector1">
            <a:avLst/>
          </a:prstGeom>
          <a:ln w="1270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a:xfrm flipH="1">
            <a:off x="16317310" y="4269828"/>
            <a:ext cx="2837793" cy="0"/>
          </a:xfrm>
          <a:prstGeom prst="line">
            <a:avLst/>
          </a:prstGeom>
          <a:ln w="158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69" name="正方形/長方形 68"/>
          <xdr:cNvSpPr/>
        </xdr:nvSpPr>
        <xdr:spPr>
          <a:xfrm>
            <a:off x="18445655" y="3415862"/>
            <a:ext cx="354724" cy="1024759"/>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0" name="正方形/長方形 69"/>
          <xdr:cNvSpPr/>
        </xdr:nvSpPr>
        <xdr:spPr>
          <a:xfrm>
            <a:off x="19864552" y="3245069"/>
            <a:ext cx="354724" cy="1195552"/>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1" name="正方形/長方形 70"/>
          <xdr:cNvSpPr/>
        </xdr:nvSpPr>
        <xdr:spPr>
          <a:xfrm flipV="1">
            <a:off x="15609290" y="4956141"/>
            <a:ext cx="4609986" cy="167652"/>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正方形/長方形 71"/>
          <xdr:cNvSpPr/>
        </xdr:nvSpPr>
        <xdr:spPr>
          <a:xfrm flipV="1">
            <a:off x="18445656" y="4785348"/>
            <a:ext cx="354724" cy="170793"/>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3" name="正方形/長方形 72"/>
          <xdr:cNvSpPr/>
        </xdr:nvSpPr>
        <xdr:spPr>
          <a:xfrm>
            <a:off x="15253138" y="3245070"/>
            <a:ext cx="356152" cy="1878723"/>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4" name="正方形/長方形 73"/>
          <xdr:cNvSpPr/>
        </xdr:nvSpPr>
        <xdr:spPr>
          <a:xfrm>
            <a:off x="15609290" y="4440621"/>
            <a:ext cx="2126917" cy="512379"/>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80" name="フリーフォーム 79"/>
          <xdr:cNvSpPr/>
        </xdr:nvSpPr>
        <xdr:spPr>
          <a:xfrm>
            <a:off x="15601008" y="4286393"/>
            <a:ext cx="1855019" cy="162511"/>
          </a:xfrm>
          <a:custGeom>
            <a:avLst/>
            <a:gdLst>
              <a:gd name="connsiteX0" fmla="*/ 0 w 1863587"/>
              <a:gd name="connsiteY0" fmla="*/ 0 h 165652"/>
              <a:gd name="connsiteX1" fmla="*/ 0 w 1863587"/>
              <a:gd name="connsiteY1" fmla="*/ 165652 h 165652"/>
              <a:gd name="connsiteX2" fmla="*/ 1863587 w 1863587"/>
              <a:gd name="connsiteY2" fmla="*/ 165652 h 165652"/>
              <a:gd name="connsiteX3" fmla="*/ 0 w 1863587"/>
              <a:gd name="connsiteY3" fmla="*/ 0 h 165652"/>
            </a:gdLst>
            <a:ahLst/>
            <a:cxnLst>
              <a:cxn ang="0">
                <a:pos x="connsiteX0" y="connsiteY0"/>
              </a:cxn>
              <a:cxn ang="0">
                <a:pos x="connsiteX1" y="connsiteY1"/>
              </a:cxn>
              <a:cxn ang="0">
                <a:pos x="connsiteX2" y="connsiteY2"/>
              </a:cxn>
              <a:cxn ang="0">
                <a:pos x="connsiteX3" y="connsiteY3"/>
              </a:cxn>
            </a:cxnLst>
            <a:rect l="l" t="t" r="r" b="b"/>
            <a:pathLst>
              <a:path w="1863587" h="165652">
                <a:moveTo>
                  <a:pt x="0" y="0"/>
                </a:moveTo>
                <a:lnTo>
                  <a:pt x="0" y="165652"/>
                </a:lnTo>
                <a:lnTo>
                  <a:pt x="1863587" y="165652"/>
                </a:lnTo>
                <a:lnTo>
                  <a:pt x="0" y="0"/>
                </a:lnTo>
                <a:close/>
              </a:path>
            </a:pathLst>
          </a:cu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4" name="テキスト ボックス 83"/>
          <xdr:cNvSpPr txBox="1"/>
        </xdr:nvSpPr>
        <xdr:spPr>
          <a:xfrm>
            <a:off x="19155104" y="3770586"/>
            <a:ext cx="354724" cy="170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000"/>
              <a:t>h1</a:t>
            </a:r>
            <a:endParaRPr kumimoji="1" lang="ja-JP" altLang="en-US" sz="1000"/>
          </a:p>
        </xdr:txBody>
      </xdr:sp>
      <xdr:sp macro="" textlink="">
        <xdr:nvSpPr>
          <xdr:cNvPr id="85" name="テキスト ボックス 84"/>
          <xdr:cNvSpPr txBox="1"/>
        </xdr:nvSpPr>
        <xdr:spPr>
          <a:xfrm>
            <a:off x="19155103" y="4269828"/>
            <a:ext cx="354724" cy="3415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000"/>
              <a:t>h1'</a:t>
            </a:r>
            <a:endParaRPr kumimoji="1" lang="ja-JP" altLang="en-US" sz="1000"/>
          </a:p>
        </xdr:txBody>
      </xdr:sp>
      <xdr:sp macro="" textlink="">
        <xdr:nvSpPr>
          <xdr:cNvPr id="86" name="テキスト ボックス 85"/>
          <xdr:cNvSpPr txBox="1"/>
        </xdr:nvSpPr>
        <xdr:spPr>
          <a:xfrm>
            <a:off x="19509828" y="3928241"/>
            <a:ext cx="354724" cy="170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000"/>
              <a:t>h2</a:t>
            </a:r>
            <a:endParaRPr kumimoji="1" lang="ja-JP" altLang="en-US" sz="1000"/>
          </a:p>
        </xdr:txBody>
      </xdr:sp>
    </xdr:grpSp>
    <xdr:clientData/>
  </xdr:twoCellAnchor>
  <xdr:twoCellAnchor editAs="oneCell">
    <xdr:from>
      <xdr:col>20</xdr:col>
      <xdr:colOff>8281</xdr:colOff>
      <xdr:row>37</xdr:row>
      <xdr:rowOff>74544</xdr:rowOff>
    </xdr:from>
    <xdr:to>
      <xdr:col>29</xdr:col>
      <xdr:colOff>350226</xdr:colOff>
      <xdr:row>45</xdr:row>
      <xdr:rowOff>49695</xdr:rowOff>
    </xdr:to>
    <xdr:pic>
      <xdr:nvPicPr>
        <xdr:cNvPr id="218" name="図 217"/>
        <xdr:cNvPicPr>
          <a:picLocks noChangeAspect="1"/>
        </xdr:cNvPicPr>
      </xdr:nvPicPr>
      <xdr:blipFill>
        <a:blip xmlns:r="http://schemas.openxmlformats.org/officeDocument/2006/relationships" r:embed="rId1"/>
        <a:stretch>
          <a:fillRect/>
        </a:stretch>
      </xdr:blipFill>
      <xdr:spPr>
        <a:xfrm>
          <a:off x="7131324" y="6510131"/>
          <a:ext cx="3547315" cy="1366629"/>
        </a:xfrm>
        <a:prstGeom prst="rect">
          <a:avLst/>
        </a:prstGeom>
      </xdr:spPr>
    </xdr:pic>
    <xdr:clientData/>
  </xdr:twoCellAnchor>
  <xdr:oneCellAnchor>
    <xdr:from>
      <xdr:col>2</xdr:col>
      <xdr:colOff>184379</xdr:colOff>
      <xdr:row>109</xdr:row>
      <xdr:rowOff>0</xdr:rowOff>
    </xdr:from>
    <xdr:ext cx="3377143" cy="501612"/>
    <mc:AlternateContent xmlns:mc="http://schemas.openxmlformats.org/markup-compatibility/2006" xmlns:a14="http://schemas.microsoft.com/office/drawing/2010/main">
      <mc:Choice Requires="a14">
        <xdr:sp macro="" textlink="">
          <xdr:nvSpPr>
            <xdr:cNvPr id="10" name="テキスト ボックス 9"/>
            <xdr:cNvSpPr txBox="1"/>
          </xdr:nvSpPr>
          <xdr:spPr>
            <a:xfrm>
              <a:off x="896683" y="17840739"/>
              <a:ext cx="3377143" cy="501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a:latin typeface="ＭＳ 明朝" panose="02020609040205080304" pitchFamily="17" charset="-128"/>
                  <a:ea typeface="ＭＳ 明朝" panose="02020609040205080304" pitchFamily="17" charset="-128"/>
                </a:rPr>
                <a:t>Σ</a:t>
              </a:r>
              <a:r>
                <a:rPr kumimoji="1" lang="ja-JP" altLang="en-US" sz="1100" b="0">
                  <a:latin typeface="ＭＳ 明朝" panose="02020609040205080304" pitchFamily="17" charset="-128"/>
                  <a:ea typeface="ＭＳ 明朝" panose="02020609040205080304" pitchFamily="17" charset="-128"/>
                </a:rPr>
                <a:t>Ｖ＝Ｖ１＋Ｖ２</a:t>
              </a:r>
              <a:endParaRPr kumimoji="1" lang="en-US" altLang="ja-JP" sz="1100" b="0">
                <a:latin typeface="ＭＳ 明朝" panose="02020609040205080304" pitchFamily="17" charset="-128"/>
                <a:ea typeface="ＭＳ 明朝" panose="02020609040205080304" pitchFamily="17" charset="-128"/>
              </a:endParaRPr>
            </a:p>
            <a:p>
              <a:pPr/>
              <a14:m>
                <m:oMathPara xmlns:m="http://schemas.openxmlformats.org/officeDocument/2006/math">
                  <m:oMathParaPr>
                    <m:jc m:val="left"/>
                  </m:oMathParaPr>
                  <m:oMath xmlns:m="http://schemas.openxmlformats.org/officeDocument/2006/math">
                    <m:r>
                      <m:rPr>
                        <m:nor/>
                      </m:rPr>
                      <a:rPr kumimoji="1" lang="ja-JP" altLang="en-US" sz="1100" b="0" i="0">
                        <a:latin typeface="ＭＳ 明朝" panose="02020609040205080304" pitchFamily="17" charset="-128"/>
                        <a:ea typeface="ＭＳ 明朝" panose="02020609040205080304" pitchFamily="17" charset="-128"/>
                      </a:rPr>
                      <m:t>Ｖ</m:t>
                    </m:r>
                    <m:r>
                      <a:rPr kumimoji="1" lang="ja-JP" altLang="en-US" sz="1100" b="0" i="1">
                        <a:latin typeface="Cambria Math" panose="02040503050406030204" pitchFamily="18" charset="0"/>
                        <a:ea typeface="ＭＳ 明朝" panose="02020609040205080304" pitchFamily="17" charset="-128"/>
                      </a:rPr>
                      <m:t>１＝</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ri</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 </m:t>
                    </m:r>
                    <m:r>
                      <m:rPr>
                        <m:nor/>
                      </m:rPr>
                      <a:rPr kumimoji="1" lang="en-US" altLang="ja-JP" sz="1100" b="0" i="0">
                        <a:latin typeface="ＭＳ 明朝" panose="02020609040205080304" pitchFamily="17" charset="-128"/>
                        <a:ea typeface="ＭＳ 明朝" panose="02020609040205080304" pitchFamily="17" charset="-128"/>
                      </a:rPr>
                      <m:t>ti</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f</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1</m:t>
                        </m:r>
                      </m:num>
                      <m:den>
                        <m:r>
                          <m:rPr>
                            <m:nor/>
                          </m:rPr>
                          <a:rPr kumimoji="1" lang="en-US" altLang="ja-JP" sz="1100" b="0" i="0">
                            <a:latin typeface="ＭＳ 明朝" panose="02020609040205080304" pitchFamily="17" charset="-128"/>
                            <a:ea typeface="ＭＳ 明朝" panose="02020609040205080304" pitchFamily="17" charset="-128"/>
                          </a:rPr>
                          <m:t>360</m:t>
                        </m:r>
                      </m:den>
                    </m:f>
                  </m:oMath>
                </m:oMathPara>
              </a14:m>
              <a:endParaRPr kumimoji="1" lang="en-US" altLang="ja-JP" sz="1100">
                <a:latin typeface="ＭＳ 明朝" panose="02020609040205080304" pitchFamily="17" charset="-128"/>
                <a:ea typeface="ＭＳ 明朝" panose="02020609040205080304" pitchFamily="17" charset="-128"/>
              </a:endParaRPr>
            </a:p>
          </xdr:txBody>
        </xdr:sp>
      </mc:Choice>
      <mc:Fallback xmlns="">
        <xdr:sp macro="" textlink="">
          <xdr:nvSpPr>
            <xdr:cNvPr id="10" name="テキスト ボックス 9"/>
            <xdr:cNvSpPr txBox="1"/>
          </xdr:nvSpPr>
          <xdr:spPr>
            <a:xfrm>
              <a:off x="896683" y="17840739"/>
              <a:ext cx="3377143" cy="501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a:latin typeface="ＭＳ 明朝" panose="02020609040205080304" pitchFamily="17" charset="-128"/>
                  <a:ea typeface="ＭＳ 明朝" panose="02020609040205080304" pitchFamily="17" charset="-128"/>
                </a:rPr>
                <a:t>Σ</a:t>
              </a:r>
              <a:r>
                <a:rPr kumimoji="1" lang="ja-JP" altLang="en-US" sz="1100" b="0">
                  <a:latin typeface="ＭＳ 明朝" panose="02020609040205080304" pitchFamily="17" charset="-128"/>
                  <a:ea typeface="ＭＳ 明朝" panose="02020609040205080304" pitchFamily="17" charset="-128"/>
                </a:rPr>
                <a:t>Ｖ＝Ｖ１＋Ｖ２</a:t>
              </a:r>
              <a:endParaRPr kumimoji="1" lang="en-US" altLang="ja-JP" sz="1100" b="0">
                <a:latin typeface="ＭＳ 明朝" panose="02020609040205080304" pitchFamily="17" charset="-128"/>
                <a:ea typeface="ＭＳ 明朝" panose="02020609040205080304" pitchFamily="17" charset="-128"/>
              </a:endParaRPr>
            </a:p>
            <a:p>
              <a:pPr/>
              <a:r>
                <a:rPr kumimoji="1" lang="ja-JP" altLang="en-US" sz="1100" b="0" i="0">
                  <a:latin typeface="Cambria Math" panose="02040503050406030204" pitchFamily="18" charset="0"/>
                  <a:ea typeface="ＭＳ 明朝" panose="02020609040205080304" pitchFamily="17" charset="-128"/>
                </a:rPr>
                <a:t>"Ｖ" １＝</a:t>
              </a:r>
              <a:r>
                <a:rPr kumimoji="1" lang="en-US" altLang="ja-JP" sz="1100" b="0" i="0">
                  <a:latin typeface="Cambria Math" panose="02040503050406030204" pitchFamily="18" charset="0"/>
                  <a:ea typeface="ＭＳ 明朝" panose="02020609040205080304" pitchFamily="17" charset="-128"/>
                </a:rPr>
                <a:t>" ( ri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 ti × f × A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"1</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360</a:t>
              </a:r>
              <a:r>
                <a:rPr kumimoji="1" lang="en-US" altLang="ja-JP" sz="1100" b="0" i="0">
                  <a:latin typeface="Cambria Math" panose="02040503050406030204" pitchFamily="18" charset="0"/>
                  <a:ea typeface="ＭＳ 明朝" panose="02020609040205080304" pitchFamily="17" charset="-128"/>
                </a:rPr>
                <a:t>" </a:t>
              </a:r>
              <a:endParaRPr kumimoji="1" lang="en-US" altLang="ja-JP"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225563</xdr:colOff>
      <xdr:row>123</xdr:row>
      <xdr:rowOff>7116</xdr:rowOff>
    </xdr:from>
    <xdr:ext cx="1199046" cy="183384"/>
    <xdr:sp macro="" textlink="">
      <xdr:nvSpPr>
        <xdr:cNvPr id="46" name="テキスト ボックス 45"/>
        <xdr:cNvSpPr txBox="1"/>
      </xdr:nvSpPr>
      <xdr:spPr>
        <a:xfrm>
          <a:off x="937867" y="20862725"/>
          <a:ext cx="1199046"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b="0">
              <a:latin typeface="ＭＳ 明朝" panose="02020609040205080304" pitchFamily="17" charset="-128"/>
              <a:ea typeface="ＭＳ 明朝" panose="02020609040205080304" pitchFamily="17" charset="-128"/>
            </a:rPr>
            <a:t>Ｖ２＝ ｖ２ </a:t>
          </a:r>
          <a:r>
            <a:rPr kumimoji="1" lang="en-US" altLang="ja-JP" sz="1100" b="0">
              <a:latin typeface="ＭＳ 明朝" panose="02020609040205080304" pitchFamily="17" charset="-128"/>
              <a:ea typeface="ＭＳ 明朝" panose="02020609040205080304" pitchFamily="17" charset="-128"/>
            </a:rPr>
            <a:t>× </a:t>
          </a:r>
          <a:r>
            <a:rPr kumimoji="1" lang="ja-JP" altLang="en-US" sz="1100" b="0">
              <a:latin typeface="ＭＳ 明朝" panose="02020609040205080304" pitchFamily="17" charset="-128"/>
              <a:ea typeface="ＭＳ 明朝" panose="02020609040205080304" pitchFamily="17" charset="-128"/>
            </a:rPr>
            <a:t>Ａ</a:t>
          </a:r>
          <a:endParaRPr kumimoji="1" lang="en-US" altLang="ja-JP" sz="1100" b="0">
            <a:latin typeface="ＭＳ 明朝" panose="02020609040205080304" pitchFamily="17" charset="-128"/>
            <a:ea typeface="ＭＳ 明朝" panose="02020609040205080304" pitchFamily="17" charset="-128"/>
          </a:endParaRPr>
        </a:p>
      </xdr:txBody>
    </xdr:sp>
    <xdr:clientData/>
  </xdr:oneCellAnchor>
  <xdr:oneCellAnchor>
    <xdr:from>
      <xdr:col>2</xdr:col>
      <xdr:colOff>238541</xdr:colOff>
      <xdr:row>171</xdr:row>
      <xdr:rowOff>10767</xdr:rowOff>
    </xdr:from>
    <xdr:ext cx="1090427" cy="318870"/>
    <mc:AlternateContent xmlns:mc="http://schemas.openxmlformats.org/markup-compatibility/2006" xmlns:a14="http://schemas.microsoft.com/office/drawing/2010/main">
      <mc:Choice Requires="a14">
        <xdr:sp macro="" textlink="">
          <xdr:nvSpPr>
            <xdr:cNvPr id="14" name="テキスト ボックス 13"/>
            <xdr:cNvSpPr txBox="1"/>
          </xdr:nvSpPr>
          <xdr:spPr>
            <a:xfrm>
              <a:off x="950845" y="29654224"/>
              <a:ext cx="1090427" cy="318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rc</m:t>
                    </m:r>
                    <m:r>
                      <m:rPr>
                        <m:nor/>
                      </m:rPr>
                      <a:rPr kumimoji="1" lang="en-US" altLang="ja-JP" sz="1100" b="0" i="0">
                        <a:latin typeface="ＭＳ 明朝" panose="02020609040205080304" pitchFamily="17" charset="-128"/>
                        <a:ea typeface="ＭＳ 明朝" panose="02020609040205080304" pitchFamily="17" charset="-128"/>
                      </a:rPr>
                      <m:t> </m:t>
                    </m:r>
                    <m:r>
                      <a:rPr kumimoji="1" lang="en-US" altLang="ja-JP" sz="1100" b="0" i="0">
                        <a:latin typeface="Cambria Math" panose="02040503050406030204" pitchFamily="18" charset="0"/>
                        <a:ea typeface="Cambria Math" panose="02040503050406030204" pitchFamily="18" charset="0"/>
                      </a:rPr>
                      <m:t>= </m:t>
                    </m:r>
                    <m:f>
                      <m:fPr>
                        <m:ctrlPr>
                          <a:rPr kumimoji="1" lang="en-US" altLang="ja-JP" sz="1100" b="0" i="1">
                            <a:latin typeface="Cambria Math" panose="02040503050406030204" pitchFamily="18" charset="0"/>
                            <a:ea typeface="Cambria Math" panose="02040503050406030204" pitchFamily="18" charset="0"/>
                          </a:rPr>
                        </m:ctrlPr>
                      </m:fPr>
                      <m:num>
                        <m:sSub>
                          <m:sSubPr>
                            <m:ctrlPr>
                              <a:rPr kumimoji="1" lang="en-US" altLang="ja-JP" sz="1100" b="0" i="1">
                                <a:latin typeface="Cambria Math" panose="02040503050406030204" pitchFamily="18" charset="0"/>
                                <a:ea typeface="Cambria Math" panose="02040503050406030204" pitchFamily="18" charset="0"/>
                              </a:rPr>
                            </m:ctrlPr>
                          </m:sSubPr>
                          <m:e>
                            <m:r>
                              <m:rPr>
                                <m:nor/>
                              </m:rPr>
                              <a:rPr kumimoji="1" lang="en-US" altLang="ja-JP" sz="1100" b="0" i="0">
                                <a:latin typeface="ＭＳ 明朝" panose="02020609040205080304" pitchFamily="17" charset="-128"/>
                                <a:ea typeface="ＭＳ 明朝" panose="02020609040205080304" pitchFamily="17" charset="-128"/>
                              </a:rPr>
                              <m:t>Q</m:t>
                            </m:r>
                          </m:e>
                          <m:sub>
                            <m:r>
                              <m:rPr>
                                <m:nor/>
                              </m:rPr>
                              <a:rPr kumimoji="1" lang="en-US" altLang="ja-JP" sz="1100" b="0" i="0">
                                <a:latin typeface="ＭＳ 明朝" panose="02020609040205080304" pitchFamily="17" charset="-128"/>
                                <a:ea typeface="ＭＳ 明朝" panose="02020609040205080304" pitchFamily="17" charset="-128"/>
                              </a:rPr>
                              <m:t>A</m:t>
                            </m:r>
                          </m:sub>
                        </m:sSub>
                        <m:r>
                          <m:rPr>
                            <m:nor/>
                          </m:rPr>
                          <a:rPr kumimoji="1" lang="en-US" altLang="ja-JP" sz="1100" b="0" i="0">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360</m:t>
                        </m:r>
                      </m:num>
                      <m:den>
                        <m:r>
                          <m:rPr>
                            <m:nor/>
                          </m:rPr>
                          <a:rPr kumimoji="1" lang="en-US" altLang="ja-JP" sz="1100" b="0" i="0">
                            <a:latin typeface="ＭＳ 明朝" panose="02020609040205080304" pitchFamily="17" charset="-128"/>
                            <a:ea typeface="ＭＳ 明朝" panose="02020609040205080304" pitchFamily="17" charset="-128"/>
                          </a:rPr>
                          <m:t>f</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A</m:t>
                        </m:r>
                      </m:den>
                    </m:f>
                  </m:oMath>
                </m:oMathPara>
              </a14:m>
              <a:endParaRPr kumimoji="1" lang="ja-JP" altLang="en-US" sz="1100" i="0"/>
            </a:p>
          </xdr:txBody>
        </xdr:sp>
      </mc:Choice>
      <mc:Fallback xmlns="">
        <xdr:sp macro="" textlink="">
          <xdr:nvSpPr>
            <xdr:cNvPr id="14" name="テキスト ボックス 13"/>
            <xdr:cNvSpPr txBox="1"/>
          </xdr:nvSpPr>
          <xdr:spPr>
            <a:xfrm>
              <a:off x="950845" y="29654224"/>
              <a:ext cx="1090427" cy="318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"rc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Q</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_"</a:t>
              </a:r>
              <a:r>
                <a:rPr kumimoji="1" lang="en-US" altLang="ja-JP" sz="1100" b="0" i="0">
                  <a:latin typeface="ＭＳ 明朝" panose="02020609040205080304" pitchFamily="17" charset="-128"/>
                  <a:ea typeface="ＭＳ 明朝" panose="02020609040205080304" pitchFamily="17" charset="-128"/>
                </a:rPr>
                <a:t>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 </a:t>
              </a:r>
              <a:r>
                <a:rPr kumimoji="1" lang="en-US" altLang="ja-JP" sz="1100" b="0" i="0">
                  <a:latin typeface="ＭＳ 明朝" panose="02020609040205080304" pitchFamily="17" charset="-128"/>
                  <a:ea typeface="ＭＳ 明朝" panose="02020609040205080304" pitchFamily="17" charset="-128"/>
                </a:rPr>
                <a:t>× 360</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f × A</a:t>
              </a:r>
              <a:r>
                <a:rPr kumimoji="1" lang="en-US" altLang="ja-JP" sz="1100" b="0" i="0">
                  <a:latin typeface="Cambria Math" panose="02040503050406030204" pitchFamily="18" charset="0"/>
                  <a:ea typeface="ＭＳ 明朝" panose="02020609040205080304" pitchFamily="17" charset="-128"/>
                </a:rPr>
                <a:t>" </a:t>
              </a:r>
              <a:endParaRPr kumimoji="1" lang="ja-JP" altLang="en-US" sz="1100" i="0"/>
            </a:p>
          </xdr:txBody>
        </xdr:sp>
      </mc:Fallback>
    </mc:AlternateContent>
    <xdr:clientData/>
  </xdr:oneCellAnchor>
  <xdr:oneCellAnchor>
    <xdr:from>
      <xdr:col>2</xdr:col>
      <xdr:colOff>255104</xdr:colOff>
      <xdr:row>176</xdr:row>
      <xdr:rowOff>77029</xdr:rowOff>
    </xdr:from>
    <xdr:ext cx="996491" cy="289375"/>
    <mc:AlternateContent xmlns:mc="http://schemas.openxmlformats.org/markup-compatibility/2006" xmlns:a14="http://schemas.microsoft.com/office/drawing/2010/main">
      <mc:Choice Requires="a14">
        <xdr:sp macro="" textlink="">
          <xdr:nvSpPr>
            <xdr:cNvPr id="15" name="テキスト ボックス 14"/>
            <xdr:cNvSpPr txBox="1"/>
          </xdr:nvSpPr>
          <xdr:spPr>
            <a:xfrm>
              <a:off x="967408" y="30656420"/>
              <a:ext cx="996491" cy="289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ri</m:t>
                    </m:r>
                    <m:r>
                      <m:rPr>
                        <m:nor/>
                      </m:rPr>
                      <a:rPr kumimoji="1" lang="en-US" altLang="ja-JP" sz="1100" b="0" i="0">
                        <a:latin typeface="ＭＳ 明朝" panose="02020609040205080304" pitchFamily="17" charset="-128"/>
                        <a:ea typeface="ＭＳ 明朝" panose="02020609040205080304" pitchFamily="17" charset="-128"/>
                      </a:rPr>
                      <m:t> </m:t>
                    </m:r>
                    <m:r>
                      <a:rPr kumimoji="1" lang="en-US" altLang="ja-JP" sz="1100" b="0" i="1">
                        <a:latin typeface="Cambria Math" panose="02040503050406030204" pitchFamily="18" charset="0"/>
                      </a:rPr>
                      <m:t>= </m:t>
                    </m:r>
                    <m:f>
                      <m:fPr>
                        <m:ctrlPr>
                          <a:rPr kumimoji="1" lang="en-US" altLang="ja-JP" sz="1100" b="0" i="1">
                            <a:latin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b</m:t>
                        </m:r>
                      </m:den>
                    </m:f>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15" name="テキスト ボックス 14"/>
            <xdr:cNvSpPr txBox="1"/>
          </xdr:nvSpPr>
          <xdr:spPr>
            <a:xfrm>
              <a:off x="967408" y="30656420"/>
              <a:ext cx="996491" cy="289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"ri "</a:t>
              </a:r>
              <a:r>
                <a:rPr kumimoji="1" lang="en-US" altLang="ja-JP" sz="1100" b="0" i="0">
                  <a:latin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 b</a:t>
              </a:r>
              <a:r>
                <a:rPr kumimoji="1" lang="en-US" altLang="ja-JP" sz="1100" b="0" i="0">
                  <a:latin typeface="Cambria Math" panose="02040503050406030204" pitchFamily="18" charset="0"/>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233400</xdr:colOff>
      <xdr:row>180</xdr:row>
      <xdr:rowOff>66392</xdr:rowOff>
    </xdr:from>
    <xdr:ext cx="3574312" cy="318805"/>
    <mc:AlternateContent xmlns:mc="http://schemas.openxmlformats.org/markup-compatibility/2006" xmlns:a14="http://schemas.microsoft.com/office/drawing/2010/main">
      <mc:Choice Requires="a14">
        <xdr:sp macro="" textlink="">
          <xdr:nvSpPr>
            <xdr:cNvPr id="16" name="テキスト ボックス 15"/>
            <xdr:cNvSpPr txBox="1"/>
          </xdr:nvSpPr>
          <xdr:spPr>
            <a:xfrm>
              <a:off x="945704" y="31374653"/>
              <a:ext cx="3574312" cy="318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V</m:t>
                    </m:r>
                    <m:r>
                      <m:rPr>
                        <m:nor/>
                      </m:rPr>
                      <a:rPr kumimoji="1" lang="en-US" altLang="ja-JP" sz="1100" b="0" i="0">
                        <a:latin typeface="ＭＳ 明朝" panose="02020609040205080304" pitchFamily="17" charset="-128"/>
                        <a:ea typeface="ＭＳ 明朝" panose="02020609040205080304" pitchFamily="17" charset="-128"/>
                      </a:rPr>
                      <m:t>1 </m:t>
                    </m:r>
                    <m:r>
                      <a:rPr kumimoji="1" lang="en-US" altLang="ja-JP" sz="1100" b="0" i="1">
                        <a:solidFill>
                          <a:schemeClr val="tx1"/>
                        </a:solidFill>
                        <a:effectLst/>
                        <a:latin typeface="Cambria Math" panose="02040503050406030204" pitchFamily="18" charset="0"/>
                        <a:ea typeface="+mn-ea"/>
                        <a:cs typeface="+mn-cs"/>
                      </a:rPr>
                      <m:t>=</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ti</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f</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1</m:t>
                        </m:r>
                      </m:num>
                      <m:den>
                        <m:r>
                          <m:rPr>
                            <m:nor/>
                          </m:rPr>
                          <a:rPr kumimoji="1" lang="en-US" altLang="ja-JP" sz="1100" b="0" i="0">
                            <a:latin typeface="ＭＳ 明朝" panose="02020609040205080304" pitchFamily="17" charset="-128"/>
                            <a:ea typeface="ＭＳ 明朝" panose="02020609040205080304" pitchFamily="17" charset="-128"/>
                          </a:rPr>
                          <m:t>360</m:t>
                        </m:r>
                      </m:den>
                    </m:f>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16" name="テキスト ボックス 15"/>
            <xdr:cNvSpPr txBox="1"/>
          </xdr:nvSpPr>
          <xdr:spPr>
            <a:xfrm>
              <a:off x="945704" y="31374653"/>
              <a:ext cx="3574312" cy="318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"V1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latin typeface="Cambria Math" panose="02040503050406030204" pitchFamily="18" charset="0"/>
                  <a:ea typeface="ＭＳ 明朝" panose="02020609040205080304" pitchFamily="17" charset="-128"/>
                </a:rPr>
                <a:t>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ti × f × A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"1</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360</a:t>
              </a:r>
              <a:r>
                <a:rPr kumimoji="1" lang="en-US" altLang="ja-JP" sz="1100" b="0" i="0">
                  <a:latin typeface="Cambria Math" panose="02040503050406030204" pitchFamily="18" charset="0"/>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261561</xdr:colOff>
      <xdr:row>182</xdr:row>
      <xdr:rowOff>111117</xdr:rowOff>
    </xdr:from>
    <xdr:ext cx="2351733" cy="290144"/>
    <mc:AlternateContent xmlns:mc="http://schemas.openxmlformats.org/markup-compatibility/2006" xmlns:a14="http://schemas.microsoft.com/office/drawing/2010/main">
      <mc:Choice Requires="a14">
        <xdr:sp macro="" textlink="">
          <xdr:nvSpPr>
            <xdr:cNvPr id="52" name="テキスト ボックス 51"/>
            <xdr:cNvSpPr txBox="1"/>
          </xdr:nvSpPr>
          <xdr:spPr>
            <a:xfrm>
              <a:off x="973865" y="31783813"/>
              <a:ext cx="2351733" cy="290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y</m:t>
                    </m:r>
                    <m:r>
                      <m:rPr>
                        <m:nor/>
                      </m:rPr>
                      <a:rPr kumimoji="1" lang="en-US" altLang="ja-JP" sz="1100" b="0" i="0">
                        <a:latin typeface="ＭＳ 明朝" panose="02020609040205080304" pitchFamily="17" charset="-128"/>
                        <a:ea typeface="ＭＳ 明朝" panose="02020609040205080304" pitchFamily="17" charset="-128"/>
                      </a:rPr>
                      <m:t> </m:t>
                    </m:r>
                    <m:r>
                      <a:rPr kumimoji="1" lang="en-US" altLang="ja-JP" sz="1100" b="0" i="1">
                        <a:solidFill>
                          <a:schemeClr val="tx1"/>
                        </a:solidFill>
                        <a:effectLst/>
                        <a:latin typeface="Cambria Math" panose="02040503050406030204" pitchFamily="18" charset="0"/>
                        <a:ea typeface="+mn-ea"/>
                        <a:cs typeface="+mn-cs"/>
                      </a:rPr>
                      <m:t>=</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ti</m:t>
                    </m:r>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52" name="テキスト ボックス 51"/>
            <xdr:cNvSpPr txBox="1"/>
          </xdr:nvSpPr>
          <xdr:spPr>
            <a:xfrm>
              <a:off x="973865" y="31783813"/>
              <a:ext cx="2351733" cy="290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"y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latin typeface="Cambria Math" panose="02040503050406030204" pitchFamily="18" charset="0"/>
                  <a:ea typeface="ＭＳ 明朝" panose="02020609040205080304" pitchFamily="17" charset="-128"/>
                </a:rPr>
                <a:t>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ti</a:t>
              </a:r>
              <a:r>
                <a:rPr kumimoji="1" lang="ja-JP" altLang="en-US" sz="1100" b="0" i="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197126</xdr:colOff>
      <xdr:row>186</xdr:row>
      <xdr:rowOff>110159</xdr:rowOff>
    </xdr:from>
    <xdr:ext cx="3170547" cy="378950"/>
    <mc:AlternateContent xmlns:mc="http://schemas.openxmlformats.org/markup-compatibility/2006" xmlns:a14="http://schemas.microsoft.com/office/drawing/2010/main">
      <mc:Choice Requires="a14">
        <xdr:sp macro="" textlink="">
          <xdr:nvSpPr>
            <xdr:cNvPr id="18" name="テキスト ボックス 17"/>
            <xdr:cNvSpPr txBox="1"/>
          </xdr:nvSpPr>
          <xdr:spPr>
            <a:xfrm>
              <a:off x="909430" y="32486876"/>
              <a:ext cx="3170547" cy="378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kumimoji="1" lang="en-US" altLang="ja-JP" sz="1100" i="1">
                            <a:latin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dy</m:t>
                        </m:r>
                      </m:num>
                      <m:den>
                        <m:r>
                          <m:rPr>
                            <m:nor/>
                          </m:rPr>
                          <a:rPr kumimoji="1" lang="en-US" altLang="ja-JP" sz="1100" b="0" i="0">
                            <a:latin typeface="ＭＳ 明朝" panose="02020609040205080304" pitchFamily="17" charset="-128"/>
                            <a:ea typeface="ＭＳ 明朝" panose="02020609040205080304" pitchFamily="17" charset="-128"/>
                          </a:rPr>
                          <m:t>dti</m:t>
                        </m:r>
                      </m:den>
                    </m:f>
                    <m:r>
                      <a:rPr kumimoji="1" lang="en-US" altLang="ja-JP" sz="1100" b="0" i="1">
                        <a:latin typeface="Cambria Math" panose="02040503050406030204" pitchFamily="18" charset="0"/>
                      </a:rPr>
                      <m:t> </m:t>
                    </m:r>
                    <m:r>
                      <a:rPr kumimoji="1" lang="en-US" altLang="ja-JP" sz="110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 </m:t>
                    </m:r>
                    <m:f>
                      <m:fPr>
                        <m:ctrlPr>
                          <a:rPr kumimoji="1" lang="en-US" altLang="ja-JP" sz="110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d>
                          <m:dPr>
                            <m:ctrlPr>
                              <a:rPr kumimoji="1" lang="en-US" altLang="ja-JP" sz="1100" b="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r>
                              <m:rPr>
                                <m:nor/>
                              </m:rPr>
                              <a:rPr kumimoji="1" lang="en-US" altLang="ja-JP" sz="1100" b="0" i="0">
                                <a:latin typeface="ＭＳ 明朝" panose="02020609040205080304" pitchFamily="17" charset="-128"/>
                                <a:ea typeface="ＭＳ 明朝" panose="02020609040205080304" pitchFamily="17" charset="-128"/>
                              </a:rPr>
                              <m:t> </m:t>
                            </m:r>
                          </m:e>
                        </m:d>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n</m:t>
                        </m:r>
                        <m:r>
                          <m:rPr>
                            <m:nor/>
                          </m:rPr>
                          <a:rPr kumimoji="1" lang="en-US" altLang="ja-JP" sz="1100" b="0" i="0">
                            <a:latin typeface="ＭＳ 明朝" panose="02020609040205080304" pitchFamily="17" charset="-128"/>
                            <a:ea typeface="ＭＳ 明朝" panose="02020609040205080304" pitchFamily="17" charset="-128"/>
                          </a:rPr>
                          <m:t> ×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sSup>
                              <m:sSupPr>
                                <m:ctrlPr>
                                  <a:rPr kumimoji="1" lang="en-US" altLang="ja-JP" sz="1100" b="0" i="1">
                                    <a:solidFill>
                                      <a:schemeClr val="tx1"/>
                                    </a:solidFill>
                                    <a:effectLst/>
                                    <a:latin typeface="Cambria Math" panose="02040503050406030204" pitchFamily="18" charset="0"/>
                                    <a:ea typeface="+mn-ea"/>
                                    <a:cs typeface="+mn-cs"/>
                                  </a:rPr>
                                </m:ctrlPr>
                              </m:sSupPr>
                              <m:e>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ti</m:t>
                                </m:r>
                              </m:e>
                              <m:sup>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n</m:t>
                                </m:r>
                              </m:sup>
                            </m:sSup>
                            <m:r>
                              <a:rPr kumimoji="1" lang="en-US" altLang="ja-JP" sz="1100" b="0" i="1">
                                <a:solidFill>
                                  <a:schemeClr val="tx1"/>
                                </a:solidFill>
                                <a:effectLst/>
                                <a:latin typeface="Cambria Math" panose="02040503050406030204" pitchFamily="18" charset="0"/>
                                <a:ea typeface="+mn-ea"/>
                                <a:cs typeface="+mn-cs"/>
                              </a:rPr>
                              <m:t> </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b</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e>
                          <m:sup>
                            <m:r>
                              <m:rPr>
                                <m:nor/>
                              </m:rPr>
                              <a:rPr kumimoji="1" lang="en-US" altLang="ja-JP" sz="1100" b="0" i="0">
                                <a:latin typeface="ＭＳ 明朝" panose="02020609040205080304" pitchFamily="17" charset="-128"/>
                                <a:ea typeface="ＭＳ 明朝" panose="02020609040205080304" pitchFamily="17" charset="-128"/>
                              </a:rPr>
                              <m:t>2</m:t>
                            </m:r>
                          </m:sup>
                        </m:sSup>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oMath>
                </m:oMathPara>
              </a14:m>
              <a:endParaRPr kumimoji="1" lang="en-US" altLang="ja-JP" sz="1100" b="0">
                <a:latin typeface="ＭＳ 明朝" panose="02020609040205080304" pitchFamily="17" charset="-128"/>
                <a:ea typeface="ＭＳ 明朝" panose="02020609040205080304" pitchFamily="17" charset="-128"/>
              </a:endParaRPr>
            </a:p>
          </xdr:txBody>
        </xdr:sp>
      </mc:Choice>
      <mc:Fallback xmlns="">
        <xdr:sp macro="" textlink="">
          <xdr:nvSpPr>
            <xdr:cNvPr id="18" name="テキスト ボックス 17"/>
            <xdr:cNvSpPr txBox="1"/>
          </xdr:nvSpPr>
          <xdr:spPr>
            <a:xfrm>
              <a:off x="909430" y="32486876"/>
              <a:ext cx="3170547" cy="378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ＭＳ 明朝" panose="02020609040205080304" pitchFamily="17" charset="-128"/>
                  <a:ea typeface="ＭＳ 明朝" panose="02020609040205080304" pitchFamily="17" charset="-128"/>
                </a:rPr>
                <a:t>"dy</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dti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rPr>
                <a:t>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a × {</a:t>
              </a:r>
              <a:r>
                <a:rPr kumimoji="1" lang="en-US" altLang="ja-JP" sz="1100" b="0" i="0">
                  <a:latin typeface="Cambria Math" panose="02040503050406030204" pitchFamily="18" charset="0"/>
                  <a:ea typeface="Cambria Math" panose="02040503050406030204" pitchFamily="18" charset="0"/>
                </a:rPr>
                <a:t>" (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n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ti</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n</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 b )</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a:t>
              </a:r>
              <a:r>
                <a:rPr kumimoji="1" lang="ja-JP" altLang="en-US" sz="1100" b="0" i="0">
                  <a:latin typeface="ＭＳ 明朝" panose="02020609040205080304" pitchFamily="17" charset="-128"/>
                  <a:ea typeface="ＭＳ 明朝" panose="02020609040205080304" pitchFamily="17" charset="-128"/>
                </a:rPr>
                <a:t>"</a:t>
              </a:r>
              <a:endParaRPr kumimoji="1" lang="en-US" altLang="ja-JP" sz="1100" b="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159026</xdr:colOff>
      <xdr:row>190</xdr:row>
      <xdr:rowOff>113472</xdr:rowOff>
    </xdr:from>
    <xdr:ext cx="5506700" cy="276422"/>
    <mc:AlternateContent xmlns:mc="http://schemas.openxmlformats.org/markup-compatibility/2006" xmlns:a14="http://schemas.microsoft.com/office/drawing/2010/main">
      <mc:Choice Requires="a14">
        <xdr:sp macro="" textlink="">
          <xdr:nvSpPr>
            <xdr:cNvPr id="56" name="テキスト ボックス 55"/>
            <xdr:cNvSpPr txBox="1"/>
          </xdr:nvSpPr>
          <xdr:spPr>
            <a:xfrm>
              <a:off x="871330" y="34146711"/>
              <a:ext cx="5506700"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m:t>
                        </m:r>
                      </m:e>
                    </m:d>
                    <m:sSup>
                      <m:sSupPr>
                        <m:ctrlPr>
                          <a:rPr kumimoji="1" lang="en-US" altLang="ja-JP" sz="1050" b="0" i="1">
                            <a:latin typeface="Cambria Math" panose="02040503050406030204" pitchFamily="18" charset="0"/>
                            <a:ea typeface="Cambria Math" panose="02040503050406030204" pitchFamily="18" charset="0"/>
                          </a:rPr>
                        </m:ctrlPr>
                      </m:sSupPr>
                      <m:e>
                        <m:r>
                          <m:rPr>
                            <m:nor/>
                          </m:rPr>
                          <a:rPr kumimoji="1" lang="en-US" altLang="ja-JP" sz="1050" b="0" i="0">
                            <a:latin typeface="ＭＳ 明朝" panose="02020609040205080304" pitchFamily="17" charset="-128"/>
                            <a:ea typeface="ＭＳ 明朝" panose="02020609040205080304" pitchFamily="17" charset="-128"/>
                          </a:rPr>
                          <m:t>X</m:t>
                        </m:r>
                      </m:e>
                      <m:sup>
                        <m:r>
                          <m:rPr>
                            <m:nor/>
                          </m:rPr>
                          <a:rPr kumimoji="1" lang="en-US" altLang="ja-JP" sz="1050" b="0" i="0">
                            <a:latin typeface="ＭＳ 明朝" panose="02020609040205080304" pitchFamily="17" charset="-128"/>
                            <a:ea typeface="ＭＳ 明朝" panose="02020609040205080304" pitchFamily="17" charset="-128"/>
                          </a:rPr>
                          <m:t>2</m:t>
                        </m:r>
                      </m:sup>
                    </m:sSup>
                    <m:r>
                      <m:rPr>
                        <m:nor/>
                      </m:rPr>
                      <a:rPr kumimoji="1" lang="en-US" altLang="ja-JP" sz="1050" b="0" i="0">
                        <a:latin typeface="ＭＳ 明朝" panose="02020609040205080304" pitchFamily="17" charset="-128"/>
                        <a:ea typeface="ＭＳ 明朝" panose="02020609040205080304" pitchFamily="17" charset="-128"/>
                      </a:rPr>
                      <m:t>+</m:t>
                    </m:r>
                    <m:d>
                      <m:dPr>
                        <m:begChr m:val="["/>
                        <m:endChr m:val="]"/>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2</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− 2</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a</m:t>
                        </m:r>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n</m:t>
                            </m:r>
                            <m:r>
                              <m:rPr>
                                <m:nor/>
                              </m:rPr>
                              <a:rPr kumimoji="1" lang="en-US" altLang="ja-JP" sz="1050" b="0" i="0">
                                <a:latin typeface="ＭＳ 明朝" panose="02020609040205080304" pitchFamily="17" charset="-128"/>
                                <a:ea typeface="ＭＳ 明朝" panose="02020609040205080304" pitchFamily="17" charset="-128"/>
                              </a:rPr>
                              <m:t>−1</m:t>
                            </m:r>
                          </m:e>
                        </m:d>
                        <m:r>
                          <m:rPr>
                            <m:nor/>
                          </m:rPr>
                          <a:rPr kumimoji="1" lang="en-US" altLang="ja-JP" sz="1050" b="0" i="0">
                            <a:latin typeface="ＭＳ 明朝" panose="02020609040205080304" pitchFamily="17" charset="-128"/>
                            <a:ea typeface="ＭＳ 明朝" panose="02020609040205080304" pitchFamily="17" charset="-128"/>
                          </a:rPr>
                          <m:t> </m:t>
                        </m:r>
                      </m:e>
                    </m:d>
                    <m:r>
                      <m:rPr>
                        <m:nor/>
                      </m:rPr>
                      <a:rPr kumimoji="1" lang="en-US" altLang="ja-JP" sz="1050" b="0" i="0">
                        <a:latin typeface="ＭＳ 明朝" panose="02020609040205080304" pitchFamily="17" charset="-128"/>
                        <a:ea typeface="ＭＳ 明朝" panose="02020609040205080304" pitchFamily="17" charset="-128"/>
                      </a:rPr>
                      <m:t>X</m:t>
                    </m:r>
                    <m:r>
                      <m:rPr>
                        <m:nor/>
                      </m:rPr>
                      <a:rPr kumimoji="1" lang="en-US" altLang="ja-JP" sz="1050" b="0" i="0">
                        <a:latin typeface="ＭＳ 明朝" panose="02020609040205080304" pitchFamily="17" charset="-128"/>
                        <a:ea typeface="ＭＳ 明朝" panose="02020609040205080304" pitchFamily="17" charset="-128"/>
                      </a:rPr>
                      <m:t>+</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m:t>
                    </m:r>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a</m:t>
                        </m:r>
                        <m:r>
                          <m:rPr>
                            <m:nor/>
                          </m:rPr>
                          <a:rPr kumimoji="1" lang="en-US" altLang="ja-JP" sz="1050" b="0" i="0">
                            <a:latin typeface="ＭＳ 明朝" panose="02020609040205080304" pitchFamily="17" charset="-128"/>
                            <a:ea typeface="ＭＳ 明朝" panose="02020609040205080304" pitchFamily="17" charset="-128"/>
                          </a:rPr>
                          <m:t> </m:t>
                        </m:r>
                      </m:e>
                    </m:d>
                    <m:r>
                      <m:rPr>
                        <m:nor/>
                      </m:rPr>
                      <a:rPr kumimoji="1" lang="en-US" altLang="ja-JP" sz="1050" b="0" i="0">
                        <a:latin typeface="ＭＳ 明朝" panose="02020609040205080304" pitchFamily="17" charset="-128"/>
                        <a:ea typeface="ＭＳ 明朝" panose="02020609040205080304" pitchFamily="17" charset="-128"/>
                      </a:rPr>
                      <m:t>= 0</m:t>
                    </m:r>
                  </m:oMath>
                </m:oMathPara>
              </a14:m>
              <a:endParaRPr kumimoji="1" lang="en-US" altLang="ja-JP" sz="1050" b="0">
                <a:latin typeface="ＭＳ 明朝" panose="02020609040205080304" pitchFamily="17" charset="-128"/>
                <a:ea typeface="ＭＳ 明朝" panose="02020609040205080304" pitchFamily="17" charset="-128"/>
              </a:endParaRPr>
            </a:p>
          </xdr:txBody>
        </xdr:sp>
      </mc:Choice>
      <mc:Fallback xmlns="">
        <xdr:sp macro="" textlink="">
          <xdr:nvSpPr>
            <xdr:cNvPr id="56" name="テキスト ボックス 55"/>
            <xdr:cNvSpPr txBox="1"/>
          </xdr:nvSpPr>
          <xdr:spPr>
            <a:xfrm>
              <a:off x="871330" y="34146711"/>
              <a:ext cx="5506700"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Fc </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"X</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2b − 2b × Fc + a</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n−1</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ＭＳ 明朝" panose="02020609040205080304" pitchFamily="17" charset="-128"/>
                </a:rPr>
                <a:t>" ]"X+b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b + Fc × b − a </a:t>
              </a:r>
              <a:r>
                <a:rPr kumimoji="1" lang="en-US" altLang="ja-JP" sz="1050" b="0" i="0">
                  <a:latin typeface="Cambria Math" panose="02040503050406030204" pitchFamily="18" charset="0"/>
                  <a:ea typeface="ＭＳ 明朝" panose="02020609040205080304" pitchFamily="17" charset="-128"/>
                </a:rPr>
                <a:t>" )"= 0</a:t>
              </a:r>
              <a:r>
                <a:rPr kumimoji="1" lang="ja-JP" altLang="en-US" sz="1050" b="0" i="0">
                  <a:latin typeface="ＭＳ 明朝" panose="02020609040205080304" pitchFamily="17" charset="-128"/>
                  <a:ea typeface="ＭＳ 明朝" panose="02020609040205080304" pitchFamily="17" charset="-128"/>
                </a:rPr>
                <a:t>"</a:t>
              </a:r>
              <a:endParaRPr kumimoji="1" lang="en-US" altLang="ja-JP" sz="1050" b="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197127</xdr:colOff>
      <xdr:row>194</xdr:row>
      <xdr:rowOff>77026</xdr:rowOff>
    </xdr:from>
    <xdr:ext cx="3269869" cy="397416"/>
    <mc:AlternateContent xmlns:mc="http://schemas.openxmlformats.org/markup-compatibility/2006" xmlns:a14="http://schemas.microsoft.com/office/drawing/2010/main">
      <mc:Choice Requires="a14">
        <xdr:sp macro="" textlink="">
          <xdr:nvSpPr>
            <xdr:cNvPr id="19" name="テキスト ボックス 18"/>
            <xdr:cNvSpPr txBox="1"/>
          </xdr:nvSpPr>
          <xdr:spPr>
            <a:xfrm>
              <a:off x="909431" y="33944613"/>
              <a:ext cx="3269869" cy="397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X</m:t>
                    </m:r>
                    <m:r>
                      <m:rPr>
                        <m:nor/>
                      </m:rPr>
                      <a:rPr kumimoji="1" lang="en-US" altLang="ja-JP" sz="1100" b="0" i="0">
                        <a:latin typeface="ＭＳ 明朝" panose="02020609040205080304" pitchFamily="17" charset="-128"/>
                        <a:ea typeface="ＭＳ 明朝" panose="02020609040205080304" pitchFamily="17" charset="-128"/>
                      </a:rPr>
                      <m:t> </m:t>
                    </m:r>
                    <m:r>
                      <a:rPr kumimoji="1" lang="ja-JP" altLang="en-US" sz="1100" b="0" i="1">
                        <a:latin typeface="Cambria Math" panose="02040503050406030204" pitchFamily="18" charset="0"/>
                        <a:ea typeface="ＭＳ 明朝" panose="02020609040205080304" pitchFamily="17" charset="-128"/>
                      </a:rPr>
                      <m:t>＝</m:t>
                    </m:r>
                    <m:r>
                      <a:rPr kumimoji="1" lang="en-US" altLang="ja-JP" sz="1100" b="0" i="1">
                        <a:latin typeface="Cambria Math" panose="02040503050406030204" pitchFamily="18" charset="0"/>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m:t>
                        </m:r>
                        <m:r>
                          <m:rPr>
                            <m:nor/>
                          </m:rPr>
                          <a:rPr kumimoji="1" lang="en-US" altLang="ja-JP" sz="1100" b="0" i="0">
                            <a:latin typeface="ＭＳ 明朝" panose="02020609040205080304" pitchFamily="17" charset="-128"/>
                            <a:ea typeface="ＭＳ 明朝" panose="02020609040205080304" pitchFamily="17" charset="-128"/>
                          </a:rPr>
                          <m:t>B</m:t>
                        </m:r>
                        <m:r>
                          <m:rPr>
                            <m:nor/>
                          </m:rPr>
                          <a:rPr kumimoji="1" lang="en-US" altLang="ja-JP" sz="1100" b="0" i="0">
                            <a:latin typeface="ＭＳ 明朝" panose="02020609040205080304" pitchFamily="17" charset="-128"/>
                            <a:ea typeface="ＭＳ 明朝" panose="02020609040205080304" pitchFamily="17" charset="-128"/>
                          </a:rPr>
                          <m:t> + </m:t>
                        </m:r>
                        <m:rad>
                          <m:radPr>
                            <m:degHide m:val="on"/>
                            <m:ctrlPr>
                              <a:rPr kumimoji="1" lang="en-US" altLang="ja-JP" sz="1100" b="0" i="1">
                                <a:latin typeface="Cambria Math" panose="02040503050406030204" pitchFamily="18" charset="0"/>
                                <a:ea typeface="Cambria Math" panose="02040503050406030204" pitchFamily="18" charset="0"/>
                              </a:rPr>
                            </m:ctrlPr>
                          </m:radPr>
                          <m:deg/>
                          <m:e>
                            <m:r>
                              <a:rPr kumimoji="1" lang="en-US" altLang="ja-JP" sz="1100" b="0" i="1">
                                <a:latin typeface="Cambria Math" panose="02040503050406030204" pitchFamily="18" charset="0"/>
                                <a:ea typeface="Cambria Math" panose="02040503050406030204" pitchFamily="18" charset="0"/>
                              </a:rPr>
                              <m:t>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B</m:t>
                                </m:r>
                              </m:e>
                              <m:sup>
                                <m:r>
                                  <m:rPr>
                                    <m:nor/>
                                  </m:rPr>
                                  <a:rPr kumimoji="1" lang="en-US" altLang="ja-JP" sz="1100" b="0" i="0">
                                    <a:latin typeface="ＭＳ 明朝" panose="02020609040205080304" pitchFamily="17" charset="-128"/>
                                    <a:ea typeface="ＭＳ 明朝" panose="02020609040205080304" pitchFamily="17" charset="-128"/>
                                  </a:rPr>
                                  <m:t>2</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− 4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C</m:t>
                            </m:r>
                          </m:e>
                        </m:rad>
                      </m:num>
                      <m:den>
                        <m:r>
                          <m:rPr>
                            <m:nor/>
                          </m:rPr>
                          <a:rPr kumimoji="1" lang="en-US" altLang="ja-JP" sz="1100" b="0" i="0">
                            <a:latin typeface="ＭＳ 明朝" panose="02020609040205080304" pitchFamily="17" charset="-128"/>
                            <a:ea typeface="ＭＳ 明朝" panose="02020609040205080304" pitchFamily="17" charset="-128"/>
                          </a:rPr>
                          <m:t>2 × </m:t>
                        </m:r>
                        <m:r>
                          <m:rPr>
                            <m:nor/>
                          </m:rPr>
                          <a:rPr kumimoji="1" lang="en-US" altLang="ja-JP" sz="1100" b="0" i="0">
                            <a:latin typeface="ＭＳ 明朝" panose="02020609040205080304" pitchFamily="17" charset="-128"/>
                            <a:ea typeface="ＭＳ 明朝" panose="02020609040205080304" pitchFamily="17" charset="-128"/>
                          </a:rPr>
                          <m:t>A</m:t>
                        </m:r>
                      </m:den>
                    </m:f>
                    <m:r>
                      <a:rPr kumimoji="1" lang="ja-JP" altLang="en-US" sz="1100" b="0" i="1">
                        <a:latin typeface="Cambria Math" panose="02040503050406030204" pitchFamily="18" charset="0"/>
                        <a:ea typeface="Cambria Math" panose="02040503050406030204" pitchFamily="18" charset="0"/>
                      </a:rPr>
                      <m:t>　　　　</m:t>
                    </m:r>
                    <m:r>
                      <m:rPr>
                        <m:nor/>
                      </m:rPr>
                      <a:rPr kumimoji="1" lang="en-US" altLang="ja-JP" sz="1100" b="0" i="0">
                        <a:latin typeface="Cambria Math" panose="02040503050406030204" pitchFamily="18" charset="0"/>
                        <a:ea typeface="Cambria Math" panose="02040503050406030204" pitchFamily="18" charset="0"/>
                      </a:rPr>
                      <m:t>ti</m:t>
                    </m:r>
                    <m:r>
                      <a:rPr kumimoji="1" lang="ja-JP" altLang="en-US" sz="1100" b="0" i="1">
                        <a:latin typeface="Cambria Math" panose="02040503050406030204" pitchFamily="18" charset="0"/>
                        <a:ea typeface="Cambria Math" panose="02040503050406030204" pitchFamily="18" charset="0"/>
                      </a:rPr>
                      <m:t>　</m:t>
                    </m:r>
                    <m:r>
                      <m:rPr>
                        <m:nor/>
                      </m:rPr>
                      <a:rPr kumimoji="1" lang="en-US" altLang="ja-JP" sz="1100" b="0" i="0">
                        <a:latin typeface="Cambria Math" panose="02040503050406030204" pitchFamily="18" charset="0"/>
                        <a:ea typeface="Cambria Math" panose="02040503050406030204" pitchFamily="18" charset="0"/>
                      </a:rPr>
                      <m:t>=</m:t>
                    </m:r>
                    <m:r>
                      <a:rPr kumimoji="1" lang="ja-JP" altLang="en-US" sz="1100" b="0" i="1">
                        <a:latin typeface="Cambria Math" panose="02040503050406030204" pitchFamily="18" charset="0"/>
                        <a:ea typeface="Cambria Math" panose="02040503050406030204" pitchFamily="18" charset="0"/>
                      </a:rPr>
                      <m:t>　</m:t>
                    </m:r>
                    <m:rad>
                      <m:radPr>
                        <m:ctrlPr>
                          <a:rPr kumimoji="1" lang="en-US" altLang="ja-JP" sz="1100" b="0" i="1">
                            <a:latin typeface="Cambria Math" panose="02040503050406030204" pitchFamily="18" charset="0"/>
                            <a:ea typeface="Cambria Math" panose="02040503050406030204" pitchFamily="18" charset="0"/>
                          </a:rPr>
                        </m:ctrlPr>
                      </m:radPr>
                      <m:deg>
                        <m:r>
                          <m:rPr>
                            <m:nor/>
                            <m:brk m:alnAt="7"/>
                          </m:rPr>
                          <a:rPr kumimoji="1" lang="en-US" altLang="ja-JP" sz="1100" b="0" i="0">
                            <a:latin typeface="Cambria Math" panose="02040503050406030204" pitchFamily="18" charset="0"/>
                            <a:ea typeface="Cambria Math" panose="02040503050406030204" pitchFamily="18" charset="0"/>
                          </a:rPr>
                          <m:t>n</m:t>
                        </m:r>
                      </m:deg>
                      <m:e>
                        <m:r>
                          <m:rPr>
                            <m:nor/>
                          </m:rPr>
                          <a:rPr kumimoji="1" lang="en-US" altLang="ja-JP" sz="1100" b="0" i="0">
                            <a:latin typeface="Cambria Math" panose="02040503050406030204" pitchFamily="18" charset="0"/>
                            <a:ea typeface="Cambria Math" panose="02040503050406030204" pitchFamily="18" charset="0"/>
                          </a:rPr>
                          <m:t>X</m:t>
                        </m:r>
                      </m:e>
                    </m:rad>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19" name="テキスト ボックス 18"/>
            <xdr:cNvSpPr txBox="1"/>
          </xdr:nvSpPr>
          <xdr:spPr>
            <a:xfrm>
              <a:off x="909431" y="33944613"/>
              <a:ext cx="3269869" cy="397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"X </a:t>
              </a:r>
              <a:r>
                <a:rPr kumimoji="1" lang="ja-JP" altLang="en-US" sz="1100" b="0" i="0">
                  <a:latin typeface="Cambria Math" panose="02040503050406030204" pitchFamily="18" charset="0"/>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−B + </a:t>
              </a:r>
              <a:r>
                <a:rPr kumimoji="1" lang="en-US" altLang="ja-JP" sz="1100" b="0" i="0">
                  <a:latin typeface="Cambria Math" panose="02040503050406030204" pitchFamily="18" charset="0"/>
                  <a:ea typeface="Cambria Math" panose="02040503050406030204" pitchFamily="18" charset="0"/>
                </a:rPr>
                <a:t>" √( "</a:t>
              </a:r>
              <a:r>
                <a:rPr kumimoji="1" lang="en-US" altLang="ja-JP" sz="1100" b="0" i="0">
                  <a:latin typeface="ＭＳ 明朝" panose="02020609040205080304" pitchFamily="17" charset="-128"/>
                  <a:ea typeface="ＭＳ 明朝" panose="02020609040205080304" pitchFamily="17" charset="-128"/>
                </a:rPr>
                <a:t>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− 4 × A × 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 × A</a:t>
              </a:r>
              <a:r>
                <a:rPr kumimoji="1" lang="en-US" altLang="ja-JP" sz="1100" b="0" i="0">
                  <a:latin typeface="Cambria Math" panose="02040503050406030204" pitchFamily="18" charset="0"/>
                  <a:ea typeface="ＭＳ 明朝" panose="02020609040205080304" pitchFamily="17" charset="-128"/>
                </a:rPr>
                <a:t>"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"ti</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√("n" &amp;"X"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3</xdr:col>
      <xdr:colOff>72886</xdr:colOff>
      <xdr:row>230</xdr:row>
      <xdr:rowOff>143289</xdr:rowOff>
    </xdr:from>
    <xdr:ext cx="1919821" cy="390492"/>
    <mc:AlternateContent xmlns:mc="http://schemas.openxmlformats.org/markup-compatibility/2006" xmlns:a14="http://schemas.microsoft.com/office/drawing/2010/main">
      <mc:Choice Requires="a14">
        <xdr:sp macro="" textlink="">
          <xdr:nvSpPr>
            <xdr:cNvPr id="17" name="テキスト ボックス 16"/>
            <xdr:cNvSpPr txBox="1"/>
          </xdr:nvSpPr>
          <xdr:spPr>
            <a:xfrm>
              <a:off x="1141343" y="40595550"/>
              <a:ext cx="1919821" cy="390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a</m:t>
                    </m:r>
                    <m:r>
                      <a:rPr kumimoji="1" lang="en-US" altLang="ja-JP" sz="1100" b="0" i="1">
                        <a:latin typeface="Cambria Math" panose="02040503050406030204" pitchFamily="18" charset="0"/>
                        <a:ea typeface="ＭＳ 明朝" panose="02020609040205080304" pitchFamily="17" charset="-128"/>
                      </a:rPr>
                      <m:t>         </m:t>
                    </m:r>
                    <m:r>
                      <a:rPr kumimoji="1" lang="ja-JP" altLang="en-US" sz="1100" b="0" i="1">
                        <a:latin typeface="Cambria Math" panose="02040503050406030204" pitchFamily="18" charset="0"/>
                        <a:ea typeface="ＭＳ 明朝" panose="02020609040205080304" pitchFamily="17" charset="-128"/>
                      </a:rPr>
                      <m:t>＝</m:t>
                    </m:r>
                    <m:r>
                      <a:rPr kumimoji="1" lang="en-US" altLang="ja-JP" sz="1100" b="0" i="1">
                        <a:latin typeface="Cambria Math" panose="02040503050406030204" pitchFamily="18" charset="0"/>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sSub>
                          <m:sSubPr>
                            <m:ctrlPr>
                              <a:rPr kumimoji="1" lang="en-US" altLang="ja-JP" sz="1100" b="0" i="1">
                                <a:latin typeface="Cambria Math" panose="02040503050406030204" pitchFamily="18" charset="0"/>
                                <a:ea typeface="Cambria Math" panose="02040503050406030204" pitchFamily="18" charset="0"/>
                              </a:rPr>
                            </m:ctrlPr>
                          </m:sSubPr>
                          <m:e>
                            <m:r>
                              <m:rPr>
                                <m:nor/>
                              </m:rPr>
                              <a:rPr kumimoji="1" lang="en-US" altLang="ja-JP" sz="1100" b="0" i="0">
                                <a:latin typeface="ＭＳ 明朝" panose="02020609040205080304" pitchFamily="17" charset="-128"/>
                                <a:ea typeface="ＭＳ 明朝" panose="02020609040205080304" pitchFamily="17" charset="-128"/>
                              </a:rPr>
                              <m:t>Q</m:t>
                            </m:r>
                          </m:e>
                          <m:sub>
                            <m:r>
                              <m:rPr>
                                <m:nor/>
                              </m:rPr>
                              <a:rPr kumimoji="1" lang="en-US" altLang="ja-JP" sz="1100" b="0" i="0">
                                <a:latin typeface="ＭＳ 明朝" panose="02020609040205080304" pitchFamily="17" charset="-128"/>
                                <a:ea typeface="ＭＳ 明朝" panose="02020609040205080304" pitchFamily="17" charset="-128"/>
                              </a:rPr>
                              <m:t>A</m:t>
                            </m:r>
                          </m:sub>
                        </m:sSub>
                      </m:num>
                      <m:den>
                        <m:r>
                          <m:rPr>
                            <m:nor/>
                          </m:rPr>
                          <a:rPr kumimoji="1" lang="en-US" altLang="ja-JP" sz="1100" b="0" i="0">
                            <a:latin typeface="ＭＳ 明朝" panose="02020609040205080304" pitchFamily="17" charset="-128"/>
                            <a:ea typeface="ＭＳ 明朝" panose="02020609040205080304" pitchFamily="17" charset="-128"/>
                          </a:rPr>
                          <m:t>C</m:t>
                        </m:r>
                        <m:r>
                          <m:rPr>
                            <m:nor/>
                          </m:rPr>
                          <a:rPr kumimoji="1" lang="en-US" altLang="ja-JP" sz="1100" b="0" i="0">
                            <a:latin typeface="ＭＳ 明朝" panose="02020609040205080304" pitchFamily="17" charset="-128"/>
                            <a:ea typeface="ＭＳ 明朝" panose="02020609040205080304" pitchFamily="17" charset="-128"/>
                          </a:rPr>
                          <m:t> × </m:t>
                        </m:r>
                        <m:rad>
                          <m:radPr>
                            <m:degHide m:val="on"/>
                            <m:ctrlPr>
                              <a:rPr kumimoji="1" lang="en-US" altLang="ja-JP" sz="1100" b="0" i="1">
                                <a:latin typeface="Cambria Math" panose="02040503050406030204" pitchFamily="18" charset="0"/>
                                <a:ea typeface="Cambria Math" panose="02040503050406030204" pitchFamily="18" charset="0"/>
                              </a:rPr>
                            </m:ctrlPr>
                          </m:radPr>
                          <m:deg/>
                          <m:e>
                            <m:r>
                              <m:rPr>
                                <m:nor/>
                              </m:rPr>
                              <a:rPr kumimoji="1" lang="en-US" altLang="ja-JP" sz="1100" b="0" i="0">
                                <a:latin typeface="ＭＳ 明朝" panose="02020609040205080304" pitchFamily="17" charset="-128"/>
                                <a:ea typeface="ＭＳ 明朝" panose="02020609040205080304" pitchFamily="17" charset="-128"/>
                              </a:rPr>
                              <m:t>2 × </m:t>
                            </m:r>
                            <m:r>
                              <m:rPr>
                                <m:nor/>
                              </m:rPr>
                              <a:rPr kumimoji="1" lang="en-US" altLang="ja-JP" sz="1100" b="0" i="0">
                                <a:latin typeface="ＭＳ 明朝" panose="02020609040205080304" pitchFamily="17" charset="-128"/>
                                <a:ea typeface="ＭＳ 明朝" panose="02020609040205080304" pitchFamily="17" charset="-128"/>
                              </a:rPr>
                              <m:t>g</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h</m:t>
                            </m:r>
                            <m:r>
                              <m:rPr>
                                <m:nor/>
                              </m:rPr>
                              <a:rPr kumimoji="1" lang="en-US" altLang="ja-JP" sz="1100" b="0" i="0">
                                <a:latin typeface="ＭＳ 明朝" panose="02020609040205080304" pitchFamily="17" charset="-128"/>
                                <a:ea typeface="ＭＳ 明朝" panose="02020609040205080304" pitchFamily="17" charset="-128"/>
                              </a:rPr>
                              <m:t>2</m:t>
                            </m:r>
                          </m:e>
                        </m:rad>
                      </m:den>
                    </m:f>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17" name="テキスト ボックス 16"/>
            <xdr:cNvSpPr txBox="1"/>
          </xdr:nvSpPr>
          <xdr:spPr>
            <a:xfrm>
              <a:off x="1141343" y="40595550"/>
              <a:ext cx="1919821" cy="390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i="0">
                  <a:latin typeface="Cambria Math" panose="02040503050406030204" pitchFamily="18" charset="0"/>
                  <a:ea typeface="ＭＳ 明朝" panose="02020609040205080304" pitchFamily="17" charset="-128"/>
                </a:rPr>
                <a:t>"a"         </a:t>
              </a:r>
              <a:r>
                <a:rPr kumimoji="1" lang="ja-JP" altLang="en-US" sz="1100" b="0" i="0">
                  <a:latin typeface="Cambria Math" panose="02040503050406030204" pitchFamily="18" charset="0"/>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Q</a:t>
              </a:r>
              <a:r>
                <a:rPr kumimoji="1" lang="en-US" altLang="ja-JP" sz="1100" b="0" i="0">
                  <a:latin typeface="Cambria Math" panose="02040503050406030204" pitchFamily="18" charset="0"/>
                  <a:ea typeface="Cambria Math" panose="02040503050406030204" pitchFamily="18" charset="0"/>
                </a:rPr>
                <a:t>" _"</a:t>
              </a:r>
              <a:r>
                <a:rPr kumimoji="1" lang="en-US" altLang="ja-JP" sz="1100" b="0" i="0">
                  <a:latin typeface="ＭＳ 明朝" panose="02020609040205080304" pitchFamily="17" charset="-128"/>
                  <a:ea typeface="ＭＳ 明朝" panose="02020609040205080304" pitchFamily="17" charset="-128"/>
                </a:rPr>
                <a:t>A</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C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2 × g × h2</a:t>
              </a:r>
              <a:r>
                <a:rPr kumimoji="1" lang="en-US" altLang="ja-JP" sz="1100" b="0" i="0">
                  <a:latin typeface="Cambria Math" panose="02040503050406030204" pitchFamily="18" charset="0"/>
                  <a:ea typeface="Cambria Math" panose="02040503050406030204" pitchFamily="18" charset="0"/>
                </a:rPr>
                <a:t>"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twoCellAnchor>
    <xdr:from>
      <xdr:col>0</xdr:col>
      <xdr:colOff>347870</xdr:colOff>
      <xdr:row>53</xdr:row>
      <xdr:rowOff>149087</xdr:rowOff>
    </xdr:from>
    <xdr:to>
      <xdr:col>18</xdr:col>
      <xdr:colOff>231913</xdr:colOff>
      <xdr:row>102</xdr:row>
      <xdr:rowOff>0</xdr:rowOff>
    </xdr:to>
    <xdr:sp macro="" textlink="">
      <xdr:nvSpPr>
        <xdr:cNvPr id="2" name="正方形/長方形 1"/>
        <xdr:cNvSpPr/>
      </xdr:nvSpPr>
      <xdr:spPr>
        <a:xfrm>
          <a:off x="347870" y="9019761"/>
          <a:ext cx="6294782" cy="845654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320675</xdr:colOff>
      <xdr:row>217</xdr:row>
      <xdr:rowOff>0</xdr:rowOff>
    </xdr:from>
    <xdr:to>
      <xdr:col>17</xdr:col>
      <xdr:colOff>0</xdr:colOff>
      <xdr:row>217</xdr:row>
      <xdr:rowOff>175895</xdr:rowOff>
    </xdr:to>
    <xdr:sp macro="" textlink="">
      <xdr:nvSpPr>
        <xdr:cNvPr id="3" name="図形 17">
          <a:extLst>
            <a:ext uri="{FF2B5EF4-FFF2-40B4-BE49-F238E27FC236}">
              <a16:creationId xmlns:a16="http://schemas.microsoft.com/office/drawing/2014/main" id="{00000000-0008-0000-0100-000003000000}"/>
            </a:ext>
          </a:extLst>
        </xdr:cNvPr>
        <xdr:cNvSpPr/>
      </xdr:nvSpPr>
      <xdr:spPr>
        <a:xfrm>
          <a:off x="2435225" y="26746200"/>
          <a:ext cx="3556000" cy="175895"/>
        </a:xfrm>
        <a:custGeom>
          <a:avLst/>
          <a:gdLst/>
          <a:ahLst/>
          <a:cxnLst>
            <a:cxn ang="0">
              <a:pos x="0" y="20566337"/>
            </a:cxn>
            <a:cxn ang="0">
              <a:pos x="1163517938" y="17825523"/>
            </a:cxn>
            <a:cxn ang="0">
              <a:pos x="2028504036" y="34278586"/>
            </a:cxn>
            <a:cxn ang="0">
              <a:pos x="2147483647" y="0"/>
            </a:cxn>
            <a:cxn ang="0">
              <a:pos x="2147483647" y="0"/>
            </a:cxn>
          </a:cxnLst>
          <a:rect l="0" t="0" r="0" b="0"/>
          <a:pathLst>
            <a:path w="16384" h="16384">
              <a:moveTo>
                <a:pt x="0" y="9830"/>
              </a:moveTo>
              <a:lnTo>
                <a:pt x="152" y="8520"/>
              </a:lnTo>
              <a:lnTo>
                <a:pt x="265" y="16384"/>
              </a:lnTo>
              <a:lnTo>
                <a:pt x="569" y="0"/>
              </a:lnTo>
              <a:lnTo>
                <a:pt x="16384" y="0"/>
              </a:lnTo>
            </a:path>
          </a:pathLst>
        </a:custGeom>
        <a:noFill/>
        <a:ln w="9525" cap="flat" cmpd="sng">
          <a:solidFill>
            <a:srgbClr val="000000"/>
          </a:solidFill>
          <a:prstDash val="solid"/>
          <a:round/>
          <a:headEnd type="none" w="med" len="med"/>
          <a:tailEnd type="none" w="med" len="med"/>
        </a:ln>
      </xdr:spPr>
    </xdr:sp>
    <xdr:clientData/>
  </xdr:twoCellAnchor>
  <mc:AlternateContent xmlns:mc="http://schemas.openxmlformats.org/markup-compatibility/2006">
    <mc:Choice xmlns:a14="http://schemas.microsoft.com/office/drawing/2010/main" Requires="a14">
      <xdr:twoCellAnchor editAs="oneCell">
        <xdr:from>
          <xdr:col>2</xdr:col>
          <xdr:colOff>0</xdr:colOff>
          <xdr:row>171</xdr:row>
          <xdr:rowOff>0</xdr:rowOff>
        </xdr:from>
        <xdr:to>
          <xdr:col>18</xdr:col>
          <xdr:colOff>4763</xdr:colOff>
          <xdr:row>184</xdr:row>
          <xdr:rowOff>146395</xdr:rowOff>
        </xdr:to>
        <xdr:pic>
          <xdr:nvPicPr>
            <xdr:cNvPr id="4" name="図 3">
              <a:extLst>
                <a:ext uri="{FF2B5EF4-FFF2-40B4-BE49-F238E27FC236}">
                  <a16:creationId xmlns:a16="http://schemas.microsoft.com/office/drawing/2014/main" id="{163C1F23-CA02-4CE6-88BB-43ECB4D2DFBC}"/>
                </a:ext>
              </a:extLst>
            </xdr:cNvPr>
            <xdr:cNvPicPr>
              <a:picLocks noChangeAspect="1" noChangeArrowheads="1"/>
              <a:extLst>
                <a:ext uri="{84589F7E-364E-4C9E-8A38-B11213B215E9}">
                  <a14:cameraTool cellRange="浸透_公共用地kf表" spid="_x0000_s2508"/>
                </a:ext>
              </a:extLst>
            </xdr:cNvPicPr>
          </xdr:nvPicPr>
          <xdr:blipFill>
            <a:blip xmlns:r="http://schemas.openxmlformats.org/officeDocument/2006/relationships" r:embed="rId1"/>
            <a:srcRect/>
            <a:stretch>
              <a:fillRect/>
            </a:stretch>
          </xdr:blipFill>
          <xdr:spPr bwMode="auto">
            <a:xfrm>
              <a:off x="654326" y="23845630"/>
              <a:ext cx="5239372" cy="2515222"/>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2</xdr:col>
      <xdr:colOff>184379</xdr:colOff>
      <xdr:row>96</xdr:row>
      <xdr:rowOff>0</xdr:rowOff>
    </xdr:from>
    <xdr:ext cx="3377143" cy="501612"/>
    <mc:AlternateContent xmlns:mc="http://schemas.openxmlformats.org/markup-compatibility/2006" xmlns:a14="http://schemas.microsoft.com/office/drawing/2010/main">
      <mc:Choice Requires="a14">
        <xdr:sp macro="" textlink="">
          <xdr:nvSpPr>
            <xdr:cNvPr id="5" name="テキスト ボックス 4"/>
            <xdr:cNvSpPr txBox="1"/>
          </xdr:nvSpPr>
          <xdr:spPr>
            <a:xfrm>
              <a:off x="896683" y="9392478"/>
              <a:ext cx="3377143" cy="501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a:latin typeface="ＭＳ 明朝" panose="02020609040205080304" pitchFamily="17" charset="-128"/>
                  <a:ea typeface="ＭＳ 明朝" panose="02020609040205080304" pitchFamily="17" charset="-128"/>
                </a:rPr>
                <a:t>Σ</a:t>
              </a:r>
              <a:r>
                <a:rPr kumimoji="1" lang="ja-JP" altLang="en-US" sz="1100" b="0">
                  <a:latin typeface="ＭＳ 明朝" panose="02020609040205080304" pitchFamily="17" charset="-128"/>
                  <a:ea typeface="ＭＳ 明朝" panose="02020609040205080304" pitchFamily="17" charset="-128"/>
                </a:rPr>
                <a:t>Ｖ＝Ｖ１＋Ｖ２</a:t>
              </a:r>
              <a:endParaRPr kumimoji="1" lang="en-US" altLang="ja-JP" sz="1100" b="0">
                <a:latin typeface="ＭＳ 明朝" panose="02020609040205080304" pitchFamily="17" charset="-128"/>
                <a:ea typeface="ＭＳ 明朝" panose="02020609040205080304" pitchFamily="17" charset="-128"/>
              </a:endParaRPr>
            </a:p>
            <a:p>
              <a:pPr/>
              <a14:m>
                <m:oMathPara xmlns:m="http://schemas.openxmlformats.org/officeDocument/2006/math">
                  <m:oMathParaPr>
                    <m:jc m:val="left"/>
                  </m:oMathParaPr>
                  <m:oMath xmlns:m="http://schemas.openxmlformats.org/officeDocument/2006/math">
                    <m:r>
                      <m:rPr>
                        <m:nor/>
                      </m:rPr>
                      <a:rPr kumimoji="1" lang="ja-JP" altLang="en-US" sz="1100" b="0" i="0">
                        <a:latin typeface="ＭＳ 明朝" panose="02020609040205080304" pitchFamily="17" charset="-128"/>
                        <a:ea typeface="ＭＳ 明朝" panose="02020609040205080304" pitchFamily="17" charset="-128"/>
                      </a:rPr>
                      <m:t>Ｖ</m:t>
                    </m:r>
                    <m:r>
                      <a:rPr kumimoji="1" lang="ja-JP" altLang="en-US" sz="1100" b="0" i="1">
                        <a:latin typeface="Cambria Math" panose="02040503050406030204" pitchFamily="18" charset="0"/>
                        <a:ea typeface="ＭＳ 明朝" panose="02020609040205080304" pitchFamily="17" charset="-128"/>
                      </a:rPr>
                      <m:t>１＝</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ri</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 </m:t>
                    </m:r>
                    <m:r>
                      <m:rPr>
                        <m:nor/>
                      </m:rPr>
                      <a:rPr kumimoji="1" lang="en-US" altLang="ja-JP" sz="1100" b="0" i="0">
                        <a:latin typeface="ＭＳ 明朝" panose="02020609040205080304" pitchFamily="17" charset="-128"/>
                        <a:ea typeface="ＭＳ 明朝" panose="02020609040205080304" pitchFamily="17" charset="-128"/>
                      </a:rPr>
                      <m:t>ti</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f</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1</m:t>
                        </m:r>
                      </m:num>
                      <m:den>
                        <m:r>
                          <m:rPr>
                            <m:nor/>
                          </m:rPr>
                          <a:rPr kumimoji="1" lang="en-US" altLang="ja-JP" sz="1100" b="0" i="0">
                            <a:latin typeface="ＭＳ 明朝" panose="02020609040205080304" pitchFamily="17" charset="-128"/>
                            <a:ea typeface="ＭＳ 明朝" panose="02020609040205080304" pitchFamily="17" charset="-128"/>
                          </a:rPr>
                          <m:t>360</m:t>
                        </m:r>
                      </m:den>
                    </m:f>
                  </m:oMath>
                </m:oMathPara>
              </a14:m>
              <a:endParaRPr kumimoji="1" lang="en-US" altLang="ja-JP" sz="1100">
                <a:latin typeface="ＭＳ 明朝" panose="02020609040205080304" pitchFamily="17" charset="-128"/>
                <a:ea typeface="ＭＳ 明朝" panose="02020609040205080304" pitchFamily="17" charset="-128"/>
              </a:endParaRPr>
            </a:p>
          </xdr:txBody>
        </xdr:sp>
      </mc:Choice>
      <mc:Fallback xmlns="">
        <xdr:sp macro="" textlink="">
          <xdr:nvSpPr>
            <xdr:cNvPr id="5" name="テキスト ボックス 4"/>
            <xdr:cNvSpPr txBox="1"/>
          </xdr:nvSpPr>
          <xdr:spPr>
            <a:xfrm>
              <a:off x="896683" y="9392478"/>
              <a:ext cx="3377143" cy="501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a:latin typeface="ＭＳ 明朝" panose="02020609040205080304" pitchFamily="17" charset="-128"/>
                  <a:ea typeface="ＭＳ 明朝" panose="02020609040205080304" pitchFamily="17" charset="-128"/>
                </a:rPr>
                <a:t>Σ</a:t>
              </a:r>
              <a:r>
                <a:rPr kumimoji="1" lang="ja-JP" altLang="en-US" sz="1100" b="0">
                  <a:latin typeface="ＭＳ 明朝" panose="02020609040205080304" pitchFamily="17" charset="-128"/>
                  <a:ea typeface="ＭＳ 明朝" panose="02020609040205080304" pitchFamily="17" charset="-128"/>
                </a:rPr>
                <a:t>Ｖ＝Ｖ１＋Ｖ２</a:t>
              </a:r>
              <a:endParaRPr kumimoji="1" lang="en-US" altLang="ja-JP" sz="1100" b="0">
                <a:latin typeface="ＭＳ 明朝" panose="02020609040205080304" pitchFamily="17" charset="-128"/>
                <a:ea typeface="ＭＳ 明朝" panose="02020609040205080304" pitchFamily="17" charset="-128"/>
              </a:endParaRPr>
            </a:p>
            <a:p>
              <a:pPr/>
              <a:r>
                <a:rPr kumimoji="1" lang="ja-JP" altLang="en-US" sz="1100" b="0" i="0">
                  <a:latin typeface="Cambria Math" panose="02040503050406030204" pitchFamily="18" charset="0"/>
                  <a:ea typeface="ＭＳ 明朝" panose="02020609040205080304" pitchFamily="17" charset="-128"/>
                </a:rPr>
                <a:t>"Ｖ" １＝</a:t>
              </a:r>
              <a:r>
                <a:rPr kumimoji="1" lang="en-US" altLang="ja-JP" sz="1100" b="0" i="0">
                  <a:latin typeface="Cambria Math" panose="02040503050406030204" pitchFamily="18" charset="0"/>
                  <a:ea typeface="ＭＳ 明朝" panose="02020609040205080304" pitchFamily="17" charset="-128"/>
                </a:rPr>
                <a:t>" ( ri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 ti × f × A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"1</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360</a:t>
              </a:r>
              <a:r>
                <a:rPr kumimoji="1" lang="en-US" altLang="ja-JP" sz="1100" b="0" i="0">
                  <a:latin typeface="Cambria Math" panose="02040503050406030204" pitchFamily="18" charset="0"/>
                  <a:ea typeface="ＭＳ 明朝" panose="02020609040205080304" pitchFamily="17" charset="-128"/>
                </a:rPr>
                <a:t>" </a:t>
              </a:r>
              <a:endParaRPr kumimoji="1" lang="en-US" altLang="ja-JP"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225563</xdr:colOff>
      <xdr:row>110</xdr:row>
      <xdr:rowOff>0</xdr:rowOff>
    </xdr:from>
    <xdr:ext cx="1199046" cy="183384"/>
    <xdr:sp macro="" textlink="">
      <xdr:nvSpPr>
        <xdr:cNvPr id="6" name="テキスト ボックス 5"/>
        <xdr:cNvSpPr txBox="1"/>
      </xdr:nvSpPr>
      <xdr:spPr>
        <a:xfrm>
          <a:off x="937867" y="12390783"/>
          <a:ext cx="1199046"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b="0">
              <a:latin typeface="ＭＳ 明朝" panose="02020609040205080304" pitchFamily="17" charset="-128"/>
              <a:ea typeface="ＭＳ 明朝" panose="02020609040205080304" pitchFamily="17" charset="-128"/>
            </a:rPr>
            <a:t>Ｖ２＝ ｖ２ </a:t>
          </a:r>
          <a:r>
            <a:rPr kumimoji="1" lang="en-US" altLang="ja-JP" sz="1100" b="0">
              <a:latin typeface="ＭＳ 明朝" panose="02020609040205080304" pitchFamily="17" charset="-128"/>
              <a:ea typeface="ＭＳ 明朝" panose="02020609040205080304" pitchFamily="17" charset="-128"/>
            </a:rPr>
            <a:t>× </a:t>
          </a:r>
          <a:r>
            <a:rPr kumimoji="1" lang="ja-JP" altLang="en-US" sz="1100" b="0">
              <a:latin typeface="ＭＳ 明朝" panose="02020609040205080304" pitchFamily="17" charset="-128"/>
              <a:ea typeface="ＭＳ 明朝" panose="02020609040205080304" pitchFamily="17" charset="-128"/>
            </a:rPr>
            <a:t>Ａ</a:t>
          </a:r>
          <a:endParaRPr kumimoji="1" lang="en-US" altLang="ja-JP" sz="1100" b="0">
            <a:latin typeface="ＭＳ 明朝" panose="02020609040205080304" pitchFamily="17" charset="-128"/>
            <a:ea typeface="ＭＳ 明朝" panose="02020609040205080304" pitchFamily="17" charset="-128"/>
          </a:endParaRPr>
        </a:p>
      </xdr:txBody>
    </xdr:sp>
    <xdr:clientData/>
  </xdr:oneCellAnchor>
  <xdr:oneCellAnchor>
    <xdr:from>
      <xdr:col>2</xdr:col>
      <xdr:colOff>179639</xdr:colOff>
      <xdr:row>192</xdr:row>
      <xdr:rowOff>107673</xdr:rowOff>
    </xdr:from>
    <xdr:ext cx="996491" cy="289375"/>
    <mc:AlternateContent xmlns:mc="http://schemas.openxmlformats.org/markup-compatibility/2006" xmlns:a14="http://schemas.microsoft.com/office/drawing/2010/main">
      <mc:Choice Requires="a14">
        <xdr:sp macro="" textlink="">
          <xdr:nvSpPr>
            <xdr:cNvPr id="7" name="テキスト ボックス 6"/>
            <xdr:cNvSpPr txBox="1"/>
          </xdr:nvSpPr>
          <xdr:spPr>
            <a:xfrm>
              <a:off x="891943" y="34248586"/>
              <a:ext cx="996491" cy="289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ri</m:t>
                    </m:r>
                    <m:r>
                      <m:rPr>
                        <m:nor/>
                      </m:rPr>
                      <a:rPr kumimoji="1" lang="en-US" altLang="ja-JP" sz="1100" b="0" i="0">
                        <a:latin typeface="ＭＳ 明朝" panose="02020609040205080304" pitchFamily="17" charset="-128"/>
                        <a:ea typeface="ＭＳ 明朝" panose="02020609040205080304" pitchFamily="17" charset="-128"/>
                      </a:rPr>
                      <m:t> </m:t>
                    </m:r>
                    <m:r>
                      <a:rPr kumimoji="1" lang="en-US" altLang="ja-JP" sz="1100" b="0" i="1">
                        <a:latin typeface="Cambria Math" panose="02040503050406030204" pitchFamily="18" charset="0"/>
                      </a:rPr>
                      <m:t>= </m:t>
                    </m:r>
                    <m:f>
                      <m:fPr>
                        <m:ctrlPr>
                          <a:rPr kumimoji="1" lang="en-US" altLang="ja-JP" sz="1100" b="0" i="1">
                            <a:latin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b</m:t>
                        </m:r>
                      </m:den>
                    </m:f>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7" name="テキスト ボックス 6"/>
            <xdr:cNvSpPr txBox="1"/>
          </xdr:nvSpPr>
          <xdr:spPr>
            <a:xfrm>
              <a:off x="891943" y="34248586"/>
              <a:ext cx="996491" cy="289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"ri "</a:t>
              </a:r>
              <a:r>
                <a:rPr kumimoji="1" lang="en-US" altLang="ja-JP" sz="1100" b="0" i="0">
                  <a:latin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 b</a:t>
              </a:r>
              <a:r>
                <a:rPr kumimoji="1" lang="en-US" altLang="ja-JP" sz="1100" b="0" i="0">
                  <a:latin typeface="Cambria Math" panose="02040503050406030204" pitchFamily="18" charset="0"/>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182219</xdr:colOff>
      <xdr:row>196</xdr:row>
      <xdr:rowOff>107674</xdr:rowOff>
    </xdr:from>
    <xdr:ext cx="3574312" cy="318805"/>
    <mc:AlternateContent xmlns:mc="http://schemas.openxmlformats.org/markup-compatibility/2006" xmlns:a14="http://schemas.microsoft.com/office/drawing/2010/main">
      <mc:Choice Requires="a14">
        <xdr:sp macro="" textlink="">
          <xdr:nvSpPr>
            <xdr:cNvPr id="8" name="テキスト ボックス 7"/>
            <xdr:cNvSpPr txBox="1"/>
          </xdr:nvSpPr>
          <xdr:spPr>
            <a:xfrm>
              <a:off x="894523" y="28624696"/>
              <a:ext cx="3574312" cy="318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V</m:t>
                    </m:r>
                    <m:r>
                      <m:rPr>
                        <m:nor/>
                      </m:rPr>
                      <a:rPr kumimoji="1" lang="en-US" altLang="ja-JP" sz="1100" b="0" i="0">
                        <a:latin typeface="ＭＳ 明朝" panose="02020609040205080304" pitchFamily="17" charset="-128"/>
                        <a:ea typeface="ＭＳ 明朝" panose="02020609040205080304" pitchFamily="17" charset="-128"/>
                      </a:rPr>
                      <m:t>1 </m:t>
                    </m:r>
                    <m:r>
                      <a:rPr kumimoji="1" lang="en-US" altLang="ja-JP" sz="1100" b="0" i="1">
                        <a:solidFill>
                          <a:schemeClr val="tx1"/>
                        </a:solidFill>
                        <a:effectLst/>
                        <a:latin typeface="Cambria Math" panose="02040503050406030204" pitchFamily="18" charset="0"/>
                        <a:ea typeface="+mn-ea"/>
                        <a:cs typeface="+mn-cs"/>
                      </a:rPr>
                      <m:t>=</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ti</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f</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1</m:t>
                        </m:r>
                      </m:num>
                      <m:den>
                        <m:r>
                          <m:rPr>
                            <m:nor/>
                          </m:rPr>
                          <a:rPr kumimoji="1" lang="en-US" altLang="ja-JP" sz="1100" b="0" i="0">
                            <a:latin typeface="ＭＳ 明朝" panose="02020609040205080304" pitchFamily="17" charset="-128"/>
                            <a:ea typeface="ＭＳ 明朝" panose="02020609040205080304" pitchFamily="17" charset="-128"/>
                          </a:rPr>
                          <m:t>360</m:t>
                        </m:r>
                      </m:den>
                    </m:f>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8" name="テキスト ボックス 7"/>
            <xdr:cNvSpPr txBox="1"/>
          </xdr:nvSpPr>
          <xdr:spPr>
            <a:xfrm>
              <a:off x="894523" y="28624696"/>
              <a:ext cx="3574312" cy="318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"V1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latin typeface="Cambria Math" panose="02040503050406030204" pitchFamily="18" charset="0"/>
                  <a:ea typeface="ＭＳ 明朝" panose="02020609040205080304" pitchFamily="17" charset="-128"/>
                </a:rPr>
                <a:t>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ti × f × A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"1</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360</a:t>
              </a:r>
              <a:r>
                <a:rPr kumimoji="1" lang="en-US" altLang="ja-JP" sz="1100" b="0" i="0">
                  <a:latin typeface="Cambria Math" panose="02040503050406030204" pitchFamily="18" charset="0"/>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207065</xdr:colOff>
      <xdr:row>199</xdr:row>
      <xdr:rowOff>8283</xdr:rowOff>
    </xdr:from>
    <xdr:ext cx="2351733" cy="290144"/>
    <mc:AlternateContent xmlns:mc="http://schemas.openxmlformats.org/markup-compatibility/2006" xmlns:a14="http://schemas.microsoft.com/office/drawing/2010/main">
      <mc:Choice Requires="a14">
        <xdr:sp macro="" textlink="">
          <xdr:nvSpPr>
            <xdr:cNvPr id="9" name="テキスト ボックス 8"/>
            <xdr:cNvSpPr txBox="1"/>
          </xdr:nvSpPr>
          <xdr:spPr>
            <a:xfrm>
              <a:off x="919369" y="29071957"/>
              <a:ext cx="2351733" cy="290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y</m:t>
                    </m:r>
                    <m:r>
                      <m:rPr>
                        <m:nor/>
                      </m:rPr>
                      <a:rPr kumimoji="1" lang="en-US" altLang="ja-JP" sz="1100" b="0" i="0">
                        <a:latin typeface="ＭＳ 明朝" panose="02020609040205080304" pitchFamily="17" charset="-128"/>
                        <a:ea typeface="ＭＳ 明朝" panose="02020609040205080304" pitchFamily="17" charset="-128"/>
                      </a:rPr>
                      <m:t> </m:t>
                    </m:r>
                    <m:r>
                      <a:rPr kumimoji="1" lang="en-US" altLang="ja-JP" sz="1100" b="0" i="1">
                        <a:solidFill>
                          <a:schemeClr val="tx1"/>
                        </a:solidFill>
                        <a:effectLst/>
                        <a:latin typeface="Cambria Math" panose="02040503050406030204" pitchFamily="18" charset="0"/>
                        <a:ea typeface="+mn-ea"/>
                        <a:cs typeface="+mn-cs"/>
                      </a:rPr>
                      <m:t>=</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ti</m:t>
                    </m:r>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9" name="テキスト ボックス 8"/>
            <xdr:cNvSpPr txBox="1"/>
          </xdr:nvSpPr>
          <xdr:spPr>
            <a:xfrm>
              <a:off x="919369" y="29071957"/>
              <a:ext cx="2351733" cy="290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"y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latin typeface="Cambria Math" panose="02040503050406030204" pitchFamily="18" charset="0"/>
                  <a:ea typeface="ＭＳ 明朝" panose="02020609040205080304" pitchFamily="17" charset="-128"/>
                </a:rPr>
                <a:t>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ti</a:t>
              </a:r>
              <a:r>
                <a:rPr kumimoji="1" lang="ja-JP" altLang="en-US" sz="1100" b="0" i="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149088</xdr:colOff>
      <xdr:row>202</xdr:row>
      <xdr:rowOff>107674</xdr:rowOff>
    </xdr:from>
    <xdr:ext cx="3170547" cy="378950"/>
    <mc:AlternateContent xmlns:mc="http://schemas.openxmlformats.org/markup-compatibility/2006" xmlns:a14="http://schemas.microsoft.com/office/drawing/2010/main">
      <mc:Choice Requires="a14">
        <xdr:sp macro="" textlink="">
          <xdr:nvSpPr>
            <xdr:cNvPr id="10" name="テキスト ボックス 9"/>
            <xdr:cNvSpPr txBox="1"/>
          </xdr:nvSpPr>
          <xdr:spPr>
            <a:xfrm>
              <a:off x="861392" y="36460044"/>
              <a:ext cx="3170547" cy="378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kumimoji="1" lang="en-US" altLang="ja-JP" sz="1100" i="1">
                            <a:latin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dy</m:t>
                        </m:r>
                      </m:num>
                      <m:den>
                        <m:r>
                          <m:rPr>
                            <m:nor/>
                          </m:rPr>
                          <a:rPr kumimoji="1" lang="en-US" altLang="ja-JP" sz="1100" b="0" i="0">
                            <a:latin typeface="ＭＳ 明朝" panose="02020609040205080304" pitchFamily="17" charset="-128"/>
                            <a:ea typeface="ＭＳ 明朝" panose="02020609040205080304" pitchFamily="17" charset="-128"/>
                          </a:rPr>
                          <m:t>dti</m:t>
                        </m:r>
                      </m:den>
                    </m:f>
                    <m:r>
                      <a:rPr kumimoji="1" lang="en-US" altLang="ja-JP" sz="1100" b="0" i="1">
                        <a:latin typeface="Cambria Math" panose="02040503050406030204" pitchFamily="18" charset="0"/>
                      </a:rPr>
                      <m:t> </m:t>
                    </m:r>
                    <m:r>
                      <a:rPr kumimoji="1" lang="en-US" altLang="ja-JP" sz="110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 </m:t>
                    </m:r>
                    <m:f>
                      <m:fPr>
                        <m:ctrlPr>
                          <a:rPr kumimoji="1" lang="en-US" altLang="ja-JP" sz="110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d>
                          <m:dPr>
                            <m:ctrlPr>
                              <a:rPr kumimoji="1" lang="en-US" altLang="ja-JP" sz="1100" b="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r>
                              <m:rPr>
                                <m:nor/>
                              </m:rPr>
                              <a:rPr kumimoji="1" lang="en-US" altLang="ja-JP" sz="1100" b="0" i="0">
                                <a:latin typeface="ＭＳ 明朝" panose="02020609040205080304" pitchFamily="17" charset="-128"/>
                                <a:ea typeface="ＭＳ 明朝" panose="02020609040205080304" pitchFamily="17" charset="-128"/>
                              </a:rPr>
                              <m:t> </m:t>
                            </m:r>
                          </m:e>
                        </m:d>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n</m:t>
                        </m:r>
                        <m:r>
                          <m:rPr>
                            <m:nor/>
                          </m:rPr>
                          <a:rPr kumimoji="1" lang="en-US" altLang="ja-JP" sz="1100" b="0" i="0">
                            <a:latin typeface="ＭＳ 明朝" panose="02020609040205080304" pitchFamily="17" charset="-128"/>
                            <a:ea typeface="ＭＳ 明朝" panose="02020609040205080304" pitchFamily="17" charset="-128"/>
                          </a:rPr>
                          <m:t> ×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sSup>
                              <m:sSupPr>
                                <m:ctrlPr>
                                  <a:rPr kumimoji="1" lang="en-US" altLang="ja-JP" sz="1100" b="0" i="1">
                                    <a:solidFill>
                                      <a:schemeClr val="tx1"/>
                                    </a:solidFill>
                                    <a:effectLst/>
                                    <a:latin typeface="Cambria Math" panose="02040503050406030204" pitchFamily="18" charset="0"/>
                                    <a:ea typeface="+mn-ea"/>
                                    <a:cs typeface="+mn-cs"/>
                                  </a:rPr>
                                </m:ctrlPr>
                              </m:sSupPr>
                              <m:e>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ti</m:t>
                                </m:r>
                              </m:e>
                              <m:sup>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n</m:t>
                                </m:r>
                              </m:sup>
                            </m:sSup>
                            <m:r>
                              <a:rPr kumimoji="1" lang="en-US" altLang="ja-JP" sz="1100" b="0" i="1">
                                <a:solidFill>
                                  <a:schemeClr val="tx1"/>
                                </a:solidFill>
                                <a:effectLst/>
                                <a:latin typeface="Cambria Math" panose="02040503050406030204" pitchFamily="18" charset="0"/>
                                <a:ea typeface="+mn-ea"/>
                                <a:cs typeface="+mn-cs"/>
                              </a:rPr>
                              <m:t> </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b</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e>
                          <m:sup>
                            <m:r>
                              <m:rPr>
                                <m:nor/>
                              </m:rPr>
                              <a:rPr kumimoji="1" lang="en-US" altLang="ja-JP" sz="1100" b="0" i="0">
                                <a:latin typeface="ＭＳ 明朝" panose="02020609040205080304" pitchFamily="17" charset="-128"/>
                                <a:ea typeface="ＭＳ 明朝" panose="02020609040205080304" pitchFamily="17" charset="-128"/>
                              </a:rPr>
                              <m:t>2</m:t>
                            </m:r>
                          </m:sup>
                        </m:sSup>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oMath>
                </m:oMathPara>
              </a14:m>
              <a:endParaRPr kumimoji="1" lang="en-US" altLang="ja-JP" sz="1100" b="0">
                <a:latin typeface="ＭＳ 明朝" panose="02020609040205080304" pitchFamily="17" charset="-128"/>
                <a:ea typeface="ＭＳ 明朝" panose="02020609040205080304" pitchFamily="17" charset="-128"/>
              </a:endParaRPr>
            </a:p>
          </xdr:txBody>
        </xdr:sp>
      </mc:Choice>
      <mc:Fallback xmlns="">
        <xdr:sp macro="" textlink="">
          <xdr:nvSpPr>
            <xdr:cNvPr id="10" name="テキスト ボックス 9"/>
            <xdr:cNvSpPr txBox="1"/>
          </xdr:nvSpPr>
          <xdr:spPr>
            <a:xfrm>
              <a:off x="861392" y="36460044"/>
              <a:ext cx="3170547" cy="378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ＭＳ 明朝" panose="02020609040205080304" pitchFamily="17" charset="-128"/>
                  <a:ea typeface="ＭＳ 明朝" panose="02020609040205080304" pitchFamily="17" charset="-128"/>
                </a:rPr>
                <a:t>"dy</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dti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rPr>
                <a:t>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a × {</a:t>
              </a:r>
              <a:r>
                <a:rPr kumimoji="1" lang="en-US" altLang="ja-JP" sz="1100" b="0" i="0">
                  <a:latin typeface="Cambria Math" panose="02040503050406030204" pitchFamily="18" charset="0"/>
                  <a:ea typeface="Cambria Math" panose="02040503050406030204" pitchFamily="18" charset="0"/>
                </a:rPr>
                <a:t>" (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n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ti</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n</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 b )</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a:t>
              </a:r>
              <a:r>
                <a:rPr kumimoji="1" lang="ja-JP" altLang="en-US" sz="1100" b="0" i="0">
                  <a:latin typeface="ＭＳ 明朝" panose="02020609040205080304" pitchFamily="17" charset="-128"/>
                  <a:ea typeface="ＭＳ 明朝" panose="02020609040205080304" pitchFamily="17" charset="-128"/>
                </a:rPr>
                <a:t>"</a:t>
              </a:r>
              <a:endParaRPr kumimoji="1" lang="en-US" altLang="ja-JP" sz="1100" b="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140805</xdr:colOff>
      <xdr:row>206</xdr:row>
      <xdr:rowOff>132522</xdr:rowOff>
    </xdr:from>
    <xdr:ext cx="5506700" cy="276422"/>
    <mc:AlternateContent xmlns:mc="http://schemas.openxmlformats.org/markup-compatibility/2006" xmlns:a14="http://schemas.microsoft.com/office/drawing/2010/main">
      <mc:Choice Requires="a14">
        <xdr:sp macro="" textlink="">
          <xdr:nvSpPr>
            <xdr:cNvPr id="11" name="テキスト ボックス 10"/>
            <xdr:cNvSpPr txBox="1"/>
          </xdr:nvSpPr>
          <xdr:spPr>
            <a:xfrm>
              <a:off x="853109" y="37619609"/>
              <a:ext cx="5506700"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m:t>
                        </m:r>
                      </m:e>
                    </m:d>
                    <m:sSup>
                      <m:sSupPr>
                        <m:ctrlPr>
                          <a:rPr kumimoji="1" lang="en-US" altLang="ja-JP" sz="1050" b="0" i="1">
                            <a:latin typeface="Cambria Math" panose="02040503050406030204" pitchFamily="18" charset="0"/>
                            <a:ea typeface="Cambria Math" panose="02040503050406030204" pitchFamily="18" charset="0"/>
                          </a:rPr>
                        </m:ctrlPr>
                      </m:sSupPr>
                      <m:e>
                        <m:r>
                          <m:rPr>
                            <m:nor/>
                          </m:rPr>
                          <a:rPr kumimoji="1" lang="en-US" altLang="ja-JP" sz="1050" b="0" i="0">
                            <a:latin typeface="ＭＳ 明朝" panose="02020609040205080304" pitchFamily="17" charset="-128"/>
                            <a:ea typeface="ＭＳ 明朝" panose="02020609040205080304" pitchFamily="17" charset="-128"/>
                          </a:rPr>
                          <m:t>X</m:t>
                        </m:r>
                      </m:e>
                      <m:sup>
                        <m:r>
                          <m:rPr>
                            <m:nor/>
                          </m:rPr>
                          <a:rPr kumimoji="1" lang="en-US" altLang="ja-JP" sz="1050" b="0" i="0">
                            <a:latin typeface="ＭＳ 明朝" panose="02020609040205080304" pitchFamily="17" charset="-128"/>
                            <a:ea typeface="ＭＳ 明朝" panose="02020609040205080304" pitchFamily="17" charset="-128"/>
                          </a:rPr>
                          <m:t>2</m:t>
                        </m:r>
                      </m:sup>
                    </m:sSup>
                    <m:r>
                      <m:rPr>
                        <m:nor/>
                      </m:rPr>
                      <a:rPr kumimoji="1" lang="en-US" altLang="ja-JP" sz="1050" b="0" i="0">
                        <a:latin typeface="ＭＳ 明朝" panose="02020609040205080304" pitchFamily="17" charset="-128"/>
                        <a:ea typeface="ＭＳ 明朝" panose="02020609040205080304" pitchFamily="17" charset="-128"/>
                      </a:rPr>
                      <m:t>+</m:t>
                    </m:r>
                    <m:d>
                      <m:dPr>
                        <m:begChr m:val="["/>
                        <m:endChr m:val="]"/>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2</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− 2</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a</m:t>
                        </m:r>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n</m:t>
                            </m:r>
                            <m:r>
                              <m:rPr>
                                <m:nor/>
                              </m:rPr>
                              <a:rPr kumimoji="1" lang="en-US" altLang="ja-JP" sz="1050" b="0" i="0">
                                <a:latin typeface="ＭＳ 明朝" panose="02020609040205080304" pitchFamily="17" charset="-128"/>
                                <a:ea typeface="ＭＳ 明朝" panose="02020609040205080304" pitchFamily="17" charset="-128"/>
                              </a:rPr>
                              <m:t>−1</m:t>
                            </m:r>
                          </m:e>
                        </m:d>
                        <m:r>
                          <m:rPr>
                            <m:nor/>
                          </m:rPr>
                          <a:rPr kumimoji="1" lang="en-US" altLang="ja-JP" sz="1050" b="0" i="0">
                            <a:latin typeface="ＭＳ 明朝" panose="02020609040205080304" pitchFamily="17" charset="-128"/>
                            <a:ea typeface="ＭＳ 明朝" panose="02020609040205080304" pitchFamily="17" charset="-128"/>
                          </a:rPr>
                          <m:t> </m:t>
                        </m:r>
                      </m:e>
                    </m:d>
                    <m:r>
                      <m:rPr>
                        <m:nor/>
                      </m:rPr>
                      <a:rPr kumimoji="1" lang="en-US" altLang="ja-JP" sz="1050" b="0" i="0">
                        <a:latin typeface="ＭＳ 明朝" panose="02020609040205080304" pitchFamily="17" charset="-128"/>
                        <a:ea typeface="ＭＳ 明朝" panose="02020609040205080304" pitchFamily="17" charset="-128"/>
                      </a:rPr>
                      <m:t>X</m:t>
                    </m:r>
                    <m:r>
                      <m:rPr>
                        <m:nor/>
                      </m:rPr>
                      <a:rPr kumimoji="1" lang="en-US" altLang="ja-JP" sz="1050" b="0" i="0">
                        <a:latin typeface="ＭＳ 明朝" panose="02020609040205080304" pitchFamily="17" charset="-128"/>
                        <a:ea typeface="ＭＳ 明朝" panose="02020609040205080304" pitchFamily="17" charset="-128"/>
                      </a:rPr>
                      <m:t>+</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m:t>
                    </m:r>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a</m:t>
                        </m:r>
                        <m:r>
                          <m:rPr>
                            <m:nor/>
                          </m:rPr>
                          <a:rPr kumimoji="1" lang="en-US" altLang="ja-JP" sz="1050" b="0" i="0">
                            <a:latin typeface="ＭＳ 明朝" panose="02020609040205080304" pitchFamily="17" charset="-128"/>
                            <a:ea typeface="ＭＳ 明朝" panose="02020609040205080304" pitchFamily="17" charset="-128"/>
                          </a:rPr>
                          <m:t> </m:t>
                        </m:r>
                      </m:e>
                    </m:d>
                    <m:r>
                      <m:rPr>
                        <m:nor/>
                      </m:rPr>
                      <a:rPr kumimoji="1" lang="en-US" altLang="ja-JP" sz="1050" b="0" i="0">
                        <a:latin typeface="ＭＳ 明朝" panose="02020609040205080304" pitchFamily="17" charset="-128"/>
                        <a:ea typeface="ＭＳ 明朝" panose="02020609040205080304" pitchFamily="17" charset="-128"/>
                      </a:rPr>
                      <m:t>= 0</m:t>
                    </m:r>
                  </m:oMath>
                </m:oMathPara>
              </a14:m>
              <a:endParaRPr kumimoji="1" lang="en-US" altLang="ja-JP" sz="1100" b="0">
                <a:latin typeface="ＭＳ 明朝" panose="02020609040205080304" pitchFamily="17" charset="-128"/>
                <a:ea typeface="ＭＳ 明朝" panose="02020609040205080304" pitchFamily="17" charset="-128"/>
              </a:endParaRPr>
            </a:p>
          </xdr:txBody>
        </xdr:sp>
      </mc:Choice>
      <mc:Fallback xmlns="">
        <xdr:sp macro="" textlink="">
          <xdr:nvSpPr>
            <xdr:cNvPr id="11" name="テキスト ボックス 10"/>
            <xdr:cNvSpPr txBox="1"/>
          </xdr:nvSpPr>
          <xdr:spPr>
            <a:xfrm>
              <a:off x="853109" y="37619609"/>
              <a:ext cx="5506700"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Fc </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"X</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2b − 2b × Fc + a</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n−1</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ＭＳ 明朝" panose="02020609040205080304" pitchFamily="17" charset="-128"/>
                </a:rPr>
                <a:t>" ]"X+b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b + Fc × b − a </a:t>
              </a:r>
              <a:r>
                <a:rPr kumimoji="1" lang="en-US" altLang="ja-JP" sz="1050" b="0" i="0">
                  <a:latin typeface="Cambria Math" panose="02040503050406030204" pitchFamily="18" charset="0"/>
                  <a:ea typeface="ＭＳ 明朝" panose="02020609040205080304" pitchFamily="17" charset="-128"/>
                </a:rPr>
                <a:t>" )"= 0</a:t>
              </a:r>
              <a:r>
                <a:rPr kumimoji="1" lang="ja-JP" altLang="en-US" sz="1050" b="0" i="0">
                  <a:latin typeface="ＭＳ 明朝" panose="02020609040205080304" pitchFamily="17" charset="-128"/>
                  <a:ea typeface="ＭＳ 明朝" panose="02020609040205080304" pitchFamily="17" charset="-128"/>
                </a:rPr>
                <a:t>"</a:t>
              </a:r>
              <a:endParaRPr kumimoji="1" lang="en-US" altLang="ja-JP" sz="1100" b="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231915</xdr:colOff>
      <xdr:row>210</xdr:row>
      <xdr:rowOff>173934</xdr:rowOff>
    </xdr:from>
    <xdr:ext cx="3269869" cy="397416"/>
    <mc:AlternateContent xmlns:mc="http://schemas.openxmlformats.org/markup-compatibility/2006" xmlns:a14="http://schemas.microsoft.com/office/drawing/2010/main">
      <mc:Choice Requires="a14">
        <xdr:sp macro="" textlink="">
          <xdr:nvSpPr>
            <xdr:cNvPr id="12" name="テキスト ボックス 11"/>
            <xdr:cNvSpPr txBox="1"/>
          </xdr:nvSpPr>
          <xdr:spPr>
            <a:xfrm>
              <a:off x="944219" y="31275130"/>
              <a:ext cx="3269869" cy="397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X</m:t>
                    </m:r>
                    <m:r>
                      <m:rPr>
                        <m:nor/>
                      </m:rPr>
                      <a:rPr kumimoji="1" lang="en-US" altLang="ja-JP" sz="1100" b="0" i="0">
                        <a:latin typeface="ＭＳ 明朝" panose="02020609040205080304" pitchFamily="17" charset="-128"/>
                        <a:ea typeface="ＭＳ 明朝" panose="02020609040205080304" pitchFamily="17" charset="-128"/>
                      </a:rPr>
                      <m:t> </m:t>
                    </m:r>
                    <m:r>
                      <a:rPr kumimoji="1" lang="ja-JP" altLang="en-US" sz="1100" b="0" i="1">
                        <a:latin typeface="Cambria Math" panose="02040503050406030204" pitchFamily="18" charset="0"/>
                        <a:ea typeface="ＭＳ 明朝" panose="02020609040205080304" pitchFamily="17" charset="-128"/>
                      </a:rPr>
                      <m:t>＝</m:t>
                    </m:r>
                    <m:r>
                      <a:rPr kumimoji="1" lang="en-US" altLang="ja-JP" sz="1100" b="0" i="1">
                        <a:latin typeface="Cambria Math" panose="02040503050406030204" pitchFamily="18" charset="0"/>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m:t>
                        </m:r>
                        <m:r>
                          <m:rPr>
                            <m:nor/>
                          </m:rPr>
                          <a:rPr kumimoji="1" lang="en-US" altLang="ja-JP" sz="1100" b="0" i="0">
                            <a:latin typeface="ＭＳ 明朝" panose="02020609040205080304" pitchFamily="17" charset="-128"/>
                            <a:ea typeface="ＭＳ 明朝" panose="02020609040205080304" pitchFamily="17" charset="-128"/>
                          </a:rPr>
                          <m:t>B</m:t>
                        </m:r>
                        <m:r>
                          <m:rPr>
                            <m:nor/>
                          </m:rPr>
                          <a:rPr kumimoji="1" lang="en-US" altLang="ja-JP" sz="1100" b="0" i="0">
                            <a:latin typeface="ＭＳ 明朝" panose="02020609040205080304" pitchFamily="17" charset="-128"/>
                            <a:ea typeface="ＭＳ 明朝" panose="02020609040205080304" pitchFamily="17" charset="-128"/>
                          </a:rPr>
                          <m:t> + </m:t>
                        </m:r>
                        <m:rad>
                          <m:radPr>
                            <m:degHide m:val="on"/>
                            <m:ctrlPr>
                              <a:rPr kumimoji="1" lang="en-US" altLang="ja-JP" sz="1100" b="0" i="1">
                                <a:latin typeface="Cambria Math" panose="02040503050406030204" pitchFamily="18" charset="0"/>
                                <a:ea typeface="Cambria Math" panose="02040503050406030204" pitchFamily="18" charset="0"/>
                              </a:rPr>
                            </m:ctrlPr>
                          </m:radPr>
                          <m:deg/>
                          <m:e>
                            <m:r>
                              <a:rPr kumimoji="1" lang="en-US" altLang="ja-JP" sz="1100" b="0" i="1">
                                <a:latin typeface="Cambria Math" panose="02040503050406030204" pitchFamily="18" charset="0"/>
                                <a:ea typeface="Cambria Math" panose="02040503050406030204" pitchFamily="18" charset="0"/>
                              </a:rPr>
                              <m:t>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B</m:t>
                                </m:r>
                              </m:e>
                              <m:sup>
                                <m:r>
                                  <m:rPr>
                                    <m:nor/>
                                  </m:rPr>
                                  <a:rPr kumimoji="1" lang="en-US" altLang="ja-JP" sz="1100" b="0" i="0">
                                    <a:latin typeface="ＭＳ 明朝" panose="02020609040205080304" pitchFamily="17" charset="-128"/>
                                    <a:ea typeface="ＭＳ 明朝" panose="02020609040205080304" pitchFamily="17" charset="-128"/>
                                  </a:rPr>
                                  <m:t>2</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− 4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C</m:t>
                            </m:r>
                          </m:e>
                        </m:rad>
                      </m:num>
                      <m:den>
                        <m:r>
                          <m:rPr>
                            <m:nor/>
                          </m:rPr>
                          <a:rPr kumimoji="1" lang="en-US" altLang="ja-JP" sz="1100" b="0" i="0">
                            <a:latin typeface="ＭＳ 明朝" panose="02020609040205080304" pitchFamily="17" charset="-128"/>
                            <a:ea typeface="ＭＳ 明朝" panose="02020609040205080304" pitchFamily="17" charset="-128"/>
                          </a:rPr>
                          <m:t>2 × </m:t>
                        </m:r>
                        <m:r>
                          <m:rPr>
                            <m:nor/>
                          </m:rPr>
                          <a:rPr kumimoji="1" lang="en-US" altLang="ja-JP" sz="1100" b="0" i="0">
                            <a:latin typeface="ＭＳ 明朝" panose="02020609040205080304" pitchFamily="17" charset="-128"/>
                            <a:ea typeface="ＭＳ 明朝" panose="02020609040205080304" pitchFamily="17" charset="-128"/>
                          </a:rPr>
                          <m:t>A</m:t>
                        </m:r>
                      </m:den>
                    </m:f>
                    <m:r>
                      <a:rPr kumimoji="1" lang="ja-JP" altLang="en-US" sz="1100" b="0" i="1">
                        <a:latin typeface="Cambria Math" panose="02040503050406030204" pitchFamily="18" charset="0"/>
                        <a:ea typeface="Cambria Math" panose="02040503050406030204" pitchFamily="18" charset="0"/>
                      </a:rPr>
                      <m:t>　　　　</m:t>
                    </m:r>
                    <m:r>
                      <m:rPr>
                        <m:nor/>
                      </m:rPr>
                      <a:rPr kumimoji="1" lang="en-US" altLang="ja-JP" sz="1100" b="0" i="0">
                        <a:latin typeface="Cambria Math" panose="02040503050406030204" pitchFamily="18" charset="0"/>
                        <a:ea typeface="Cambria Math" panose="02040503050406030204" pitchFamily="18" charset="0"/>
                      </a:rPr>
                      <m:t>ti</m:t>
                    </m:r>
                    <m:r>
                      <a:rPr kumimoji="1" lang="ja-JP" altLang="en-US" sz="1100" b="0" i="1">
                        <a:latin typeface="Cambria Math" panose="02040503050406030204" pitchFamily="18" charset="0"/>
                        <a:ea typeface="Cambria Math" panose="02040503050406030204" pitchFamily="18" charset="0"/>
                      </a:rPr>
                      <m:t>　</m:t>
                    </m:r>
                    <m:r>
                      <m:rPr>
                        <m:nor/>
                      </m:rPr>
                      <a:rPr kumimoji="1" lang="en-US" altLang="ja-JP" sz="1100" b="0" i="0">
                        <a:latin typeface="Cambria Math" panose="02040503050406030204" pitchFamily="18" charset="0"/>
                        <a:ea typeface="Cambria Math" panose="02040503050406030204" pitchFamily="18" charset="0"/>
                      </a:rPr>
                      <m:t>=</m:t>
                    </m:r>
                    <m:r>
                      <a:rPr kumimoji="1" lang="ja-JP" altLang="en-US" sz="1100" b="0" i="1">
                        <a:latin typeface="Cambria Math" panose="02040503050406030204" pitchFamily="18" charset="0"/>
                        <a:ea typeface="Cambria Math" panose="02040503050406030204" pitchFamily="18" charset="0"/>
                      </a:rPr>
                      <m:t>　</m:t>
                    </m:r>
                    <m:rad>
                      <m:radPr>
                        <m:ctrlPr>
                          <a:rPr kumimoji="1" lang="en-US" altLang="ja-JP" sz="1100" b="0" i="1">
                            <a:latin typeface="Cambria Math" panose="02040503050406030204" pitchFamily="18" charset="0"/>
                            <a:ea typeface="Cambria Math" panose="02040503050406030204" pitchFamily="18" charset="0"/>
                          </a:rPr>
                        </m:ctrlPr>
                      </m:radPr>
                      <m:deg>
                        <m:r>
                          <m:rPr>
                            <m:nor/>
                            <m:brk m:alnAt="7"/>
                          </m:rPr>
                          <a:rPr kumimoji="1" lang="en-US" altLang="ja-JP" sz="1100" b="0" i="0">
                            <a:latin typeface="Cambria Math" panose="02040503050406030204" pitchFamily="18" charset="0"/>
                            <a:ea typeface="Cambria Math" panose="02040503050406030204" pitchFamily="18" charset="0"/>
                          </a:rPr>
                          <m:t>n</m:t>
                        </m:r>
                      </m:deg>
                      <m:e>
                        <m:r>
                          <m:rPr>
                            <m:nor/>
                          </m:rPr>
                          <a:rPr kumimoji="1" lang="en-US" altLang="ja-JP" sz="1100" b="0" i="0">
                            <a:latin typeface="Cambria Math" panose="02040503050406030204" pitchFamily="18" charset="0"/>
                            <a:ea typeface="Cambria Math" panose="02040503050406030204" pitchFamily="18" charset="0"/>
                          </a:rPr>
                          <m:t>X</m:t>
                        </m:r>
                      </m:e>
                    </m:rad>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12" name="テキスト ボックス 11"/>
            <xdr:cNvSpPr txBox="1"/>
          </xdr:nvSpPr>
          <xdr:spPr>
            <a:xfrm>
              <a:off x="944219" y="31275130"/>
              <a:ext cx="3269869" cy="397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"X </a:t>
              </a:r>
              <a:r>
                <a:rPr kumimoji="1" lang="ja-JP" altLang="en-US" sz="1100" b="0" i="0">
                  <a:latin typeface="Cambria Math" panose="02040503050406030204" pitchFamily="18" charset="0"/>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−B + </a:t>
              </a:r>
              <a:r>
                <a:rPr kumimoji="1" lang="en-US" altLang="ja-JP" sz="1100" b="0" i="0">
                  <a:latin typeface="Cambria Math" panose="02040503050406030204" pitchFamily="18" charset="0"/>
                  <a:ea typeface="Cambria Math" panose="02040503050406030204" pitchFamily="18" charset="0"/>
                </a:rPr>
                <a:t>" √( "</a:t>
              </a:r>
              <a:r>
                <a:rPr kumimoji="1" lang="en-US" altLang="ja-JP" sz="1100" b="0" i="0">
                  <a:latin typeface="ＭＳ 明朝" panose="02020609040205080304" pitchFamily="17" charset="-128"/>
                  <a:ea typeface="ＭＳ 明朝" panose="02020609040205080304" pitchFamily="17" charset="-128"/>
                </a:rPr>
                <a:t>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− 4 × A × 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 × A</a:t>
              </a:r>
              <a:r>
                <a:rPr kumimoji="1" lang="en-US" altLang="ja-JP" sz="1100" b="0" i="0">
                  <a:latin typeface="Cambria Math" panose="02040503050406030204" pitchFamily="18" charset="0"/>
                  <a:ea typeface="ＭＳ 明朝" panose="02020609040205080304" pitchFamily="17" charset="-128"/>
                </a:rPr>
                <a:t>"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"ti</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√("n" &amp;"X"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twoCellAnchor>
    <xdr:from>
      <xdr:col>1</xdr:col>
      <xdr:colOff>0</xdr:colOff>
      <xdr:row>48</xdr:row>
      <xdr:rowOff>0</xdr:rowOff>
    </xdr:from>
    <xdr:to>
      <xdr:col>18</xdr:col>
      <xdr:colOff>240195</xdr:colOff>
      <xdr:row>89</xdr:row>
      <xdr:rowOff>0</xdr:rowOff>
    </xdr:to>
    <xdr:sp macro="" textlink="">
      <xdr:nvSpPr>
        <xdr:cNvPr id="15" name="正方形/長方形 14"/>
        <xdr:cNvSpPr/>
      </xdr:nvSpPr>
      <xdr:spPr>
        <a:xfrm>
          <a:off x="356152" y="8174935"/>
          <a:ext cx="6294782" cy="742121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320675</xdr:colOff>
      <xdr:row>167</xdr:row>
      <xdr:rowOff>0</xdr:rowOff>
    </xdr:from>
    <xdr:to>
      <xdr:col>17</xdr:col>
      <xdr:colOff>0</xdr:colOff>
      <xdr:row>167</xdr:row>
      <xdr:rowOff>175895</xdr:rowOff>
    </xdr:to>
    <xdr:sp macro="" textlink="">
      <xdr:nvSpPr>
        <xdr:cNvPr id="3" name="図形 17">
          <a:extLst>
            <a:ext uri="{FF2B5EF4-FFF2-40B4-BE49-F238E27FC236}">
              <a16:creationId xmlns:a16="http://schemas.microsoft.com/office/drawing/2014/main" id="{00000000-0008-0000-0200-000003000000}"/>
            </a:ext>
          </a:extLst>
        </xdr:cNvPr>
        <xdr:cNvSpPr/>
      </xdr:nvSpPr>
      <xdr:spPr>
        <a:xfrm>
          <a:off x="2435225" y="22440900"/>
          <a:ext cx="3556000" cy="175895"/>
        </a:xfrm>
        <a:custGeom>
          <a:avLst/>
          <a:gdLst/>
          <a:ahLst/>
          <a:cxnLst>
            <a:cxn ang="0">
              <a:pos x="0" y="20566337"/>
            </a:cxn>
            <a:cxn ang="0">
              <a:pos x="1163517938" y="17825523"/>
            </a:cxn>
            <a:cxn ang="0">
              <a:pos x="2028504036" y="34278586"/>
            </a:cxn>
            <a:cxn ang="0">
              <a:pos x="2147483647" y="0"/>
            </a:cxn>
            <a:cxn ang="0">
              <a:pos x="2147483647" y="0"/>
            </a:cxn>
          </a:cxnLst>
          <a:rect l="0" t="0" r="0" b="0"/>
          <a:pathLst>
            <a:path w="16384" h="16384">
              <a:moveTo>
                <a:pt x="0" y="9830"/>
              </a:moveTo>
              <a:lnTo>
                <a:pt x="152" y="8520"/>
              </a:lnTo>
              <a:lnTo>
                <a:pt x="265" y="16384"/>
              </a:lnTo>
              <a:lnTo>
                <a:pt x="569" y="0"/>
              </a:lnTo>
              <a:lnTo>
                <a:pt x="16384" y="0"/>
              </a:lnTo>
            </a:path>
          </a:pathLst>
        </a:custGeom>
        <a:noFill/>
        <a:ln w="9525" cap="flat" cmpd="sng">
          <a:solidFill>
            <a:srgbClr val="000000"/>
          </a:solidFill>
          <a:prstDash val="solid"/>
          <a:round/>
          <a:headEnd type="none" w="med" len="med"/>
          <a:tailEnd type="none" w="med" len="med"/>
        </a:ln>
      </xdr:spPr>
    </xdr:sp>
    <xdr:clientData/>
  </xdr:twoCellAnchor>
  <xdr:twoCellAnchor editAs="oneCell">
    <xdr:from>
      <xdr:col>10</xdr:col>
      <xdr:colOff>298174</xdr:colOff>
      <xdr:row>123</xdr:row>
      <xdr:rowOff>66261</xdr:rowOff>
    </xdr:from>
    <xdr:to>
      <xdr:col>13</xdr:col>
      <xdr:colOff>95699</xdr:colOff>
      <xdr:row>126</xdr:row>
      <xdr:rowOff>131608</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59696" y="18428804"/>
          <a:ext cx="865982" cy="612000"/>
        </a:xfrm>
        <a:prstGeom prst="rect">
          <a:avLst/>
        </a:prstGeom>
      </xdr:spPr>
    </xdr:pic>
    <xdr:clientData/>
  </xdr:twoCellAnchor>
  <xdr:oneCellAnchor>
    <xdr:from>
      <xdr:col>2</xdr:col>
      <xdr:colOff>223630</xdr:colOff>
      <xdr:row>66</xdr:row>
      <xdr:rowOff>165653</xdr:rowOff>
    </xdr:from>
    <xdr:ext cx="3377143" cy="501612"/>
    <mc:AlternateContent xmlns:mc="http://schemas.openxmlformats.org/markup-compatibility/2006" xmlns:a14="http://schemas.microsoft.com/office/drawing/2010/main">
      <mc:Choice Requires="a14">
        <xdr:sp macro="" textlink="">
          <xdr:nvSpPr>
            <xdr:cNvPr id="6" name="テキスト ボックス 5"/>
            <xdr:cNvSpPr txBox="1"/>
          </xdr:nvSpPr>
          <xdr:spPr>
            <a:xfrm>
              <a:off x="935934" y="7470914"/>
              <a:ext cx="3377143" cy="501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a:latin typeface="ＭＳ 明朝" panose="02020609040205080304" pitchFamily="17" charset="-128"/>
                  <a:ea typeface="ＭＳ 明朝" panose="02020609040205080304" pitchFamily="17" charset="-128"/>
                </a:rPr>
                <a:t>Σ</a:t>
              </a:r>
              <a:r>
                <a:rPr kumimoji="1" lang="ja-JP" altLang="en-US" sz="1100" b="0">
                  <a:latin typeface="ＭＳ 明朝" panose="02020609040205080304" pitchFamily="17" charset="-128"/>
                  <a:ea typeface="ＭＳ 明朝" panose="02020609040205080304" pitchFamily="17" charset="-128"/>
                </a:rPr>
                <a:t>Ｖ＝Ｖ１＋Ｖ２</a:t>
              </a:r>
              <a:endParaRPr kumimoji="1" lang="en-US" altLang="ja-JP" sz="1100" b="0">
                <a:latin typeface="ＭＳ 明朝" panose="02020609040205080304" pitchFamily="17" charset="-128"/>
                <a:ea typeface="ＭＳ 明朝" panose="02020609040205080304" pitchFamily="17" charset="-128"/>
              </a:endParaRPr>
            </a:p>
            <a:p>
              <a:pPr/>
              <a14:m>
                <m:oMathPara xmlns:m="http://schemas.openxmlformats.org/officeDocument/2006/math">
                  <m:oMathParaPr>
                    <m:jc m:val="left"/>
                  </m:oMathParaPr>
                  <m:oMath xmlns:m="http://schemas.openxmlformats.org/officeDocument/2006/math">
                    <m:r>
                      <m:rPr>
                        <m:nor/>
                      </m:rPr>
                      <a:rPr kumimoji="1" lang="ja-JP" altLang="en-US" sz="1100" b="0" i="0">
                        <a:latin typeface="ＭＳ 明朝" panose="02020609040205080304" pitchFamily="17" charset="-128"/>
                        <a:ea typeface="ＭＳ 明朝" panose="02020609040205080304" pitchFamily="17" charset="-128"/>
                      </a:rPr>
                      <m:t>Ｖ</m:t>
                    </m:r>
                    <m:r>
                      <a:rPr kumimoji="1" lang="ja-JP" altLang="en-US" sz="1100" b="0" i="1">
                        <a:latin typeface="Cambria Math" panose="02040503050406030204" pitchFamily="18" charset="0"/>
                        <a:ea typeface="ＭＳ 明朝" panose="02020609040205080304" pitchFamily="17" charset="-128"/>
                      </a:rPr>
                      <m:t>１＝</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ri</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 </m:t>
                    </m:r>
                    <m:r>
                      <m:rPr>
                        <m:nor/>
                      </m:rPr>
                      <a:rPr kumimoji="1" lang="en-US" altLang="ja-JP" sz="1100" b="0" i="0">
                        <a:latin typeface="ＭＳ 明朝" panose="02020609040205080304" pitchFamily="17" charset="-128"/>
                        <a:ea typeface="ＭＳ 明朝" panose="02020609040205080304" pitchFamily="17" charset="-128"/>
                      </a:rPr>
                      <m:t>ti</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f</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1</m:t>
                        </m:r>
                      </m:num>
                      <m:den>
                        <m:r>
                          <m:rPr>
                            <m:nor/>
                          </m:rPr>
                          <a:rPr kumimoji="1" lang="en-US" altLang="ja-JP" sz="1100" b="0" i="0">
                            <a:latin typeface="ＭＳ 明朝" panose="02020609040205080304" pitchFamily="17" charset="-128"/>
                            <a:ea typeface="ＭＳ 明朝" panose="02020609040205080304" pitchFamily="17" charset="-128"/>
                          </a:rPr>
                          <m:t>360</m:t>
                        </m:r>
                      </m:den>
                    </m:f>
                  </m:oMath>
                </m:oMathPara>
              </a14:m>
              <a:endParaRPr kumimoji="1" lang="en-US" altLang="ja-JP" sz="1100">
                <a:latin typeface="ＭＳ 明朝" panose="02020609040205080304" pitchFamily="17" charset="-128"/>
                <a:ea typeface="ＭＳ 明朝" panose="02020609040205080304" pitchFamily="17" charset="-128"/>
              </a:endParaRPr>
            </a:p>
          </xdr:txBody>
        </xdr:sp>
      </mc:Choice>
      <mc:Fallback xmlns="">
        <xdr:sp macro="" textlink="">
          <xdr:nvSpPr>
            <xdr:cNvPr id="6" name="テキスト ボックス 5"/>
            <xdr:cNvSpPr txBox="1"/>
          </xdr:nvSpPr>
          <xdr:spPr>
            <a:xfrm>
              <a:off x="935934" y="7470914"/>
              <a:ext cx="3377143" cy="501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a:latin typeface="ＭＳ 明朝" panose="02020609040205080304" pitchFamily="17" charset="-128"/>
                  <a:ea typeface="ＭＳ 明朝" panose="02020609040205080304" pitchFamily="17" charset="-128"/>
                </a:rPr>
                <a:t>Σ</a:t>
              </a:r>
              <a:r>
                <a:rPr kumimoji="1" lang="ja-JP" altLang="en-US" sz="1100" b="0">
                  <a:latin typeface="ＭＳ 明朝" panose="02020609040205080304" pitchFamily="17" charset="-128"/>
                  <a:ea typeface="ＭＳ 明朝" panose="02020609040205080304" pitchFamily="17" charset="-128"/>
                </a:rPr>
                <a:t>Ｖ＝Ｖ１＋Ｖ２</a:t>
              </a:r>
              <a:endParaRPr kumimoji="1" lang="en-US" altLang="ja-JP" sz="1100" b="0">
                <a:latin typeface="ＭＳ 明朝" panose="02020609040205080304" pitchFamily="17" charset="-128"/>
                <a:ea typeface="ＭＳ 明朝" panose="02020609040205080304" pitchFamily="17" charset="-128"/>
              </a:endParaRPr>
            </a:p>
            <a:p>
              <a:pPr/>
              <a:r>
                <a:rPr kumimoji="1" lang="ja-JP" altLang="en-US" sz="1100" b="0" i="0">
                  <a:latin typeface="Cambria Math" panose="02040503050406030204" pitchFamily="18" charset="0"/>
                  <a:ea typeface="ＭＳ 明朝" panose="02020609040205080304" pitchFamily="17" charset="-128"/>
                </a:rPr>
                <a:t>"Ｖ" １＝</a:t>
              </a:r>
              <a:r>
                <a:rPr kumimoji="1" lang="en-US" altLang="ja-JP" sz="1100" b="0" i="0">
                  <a:latin typeface="Cambria Math" panose="02040503050406030204" pitchFamily="18" charset="0"/>
                  <a:ea typeface="ＭＳ 明朝" panose="02020609040205080304" pitchFamily="17" charset="-128"/>
                </a:rPr>
                <a:t>" ( ri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 ti × f × A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"1</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360</a:t>
              </a:r>
              <a:r>
                <a:rPr kumimoji="1" lang="en-US" altLang="ja-JP" sz="1100" b="0" i="0">
                  <a:latin typeface="Cambria Math" panose="02040503050406030204" pitchFamily="18" charset="0"/>
                  <a:ea typeface="ＭＳ 明朝" panose="02020609040205080304" pitchFamily="17" charset="-128"/>
                </a:rPr>
                <a:t>" </a:t>
              </a:r>
              <a:endParaRPr kumimoji="1" lang="en-US" altLang="ja-JP"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231913</xdr:colOff>
      <xdr:row>80</xdr:row>
      <xdr:rowOff>107674</xdr:rowOff>
    </xdr:from>
    <xdr:ext cx="1199046" cy="183384"/>
    <xdr:sp macro="" textlink="">
      <xdr:nvSpPr>
        <xdr:cNvPr id="7" name="テキスト ボックス 6"/>
        <xdr:cNvSpPr txBox="1"/>
      </xdr:nvSpPr>
      <xdr:spPr>
        <a:xfrm>
          <a:off x="944217" y="10402957"/>
          <a:ext cx="1199046"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b="0">
              <a:latin typeface="ＭＳ 明朝" panose="02020609040205080304" pitchFamily="17" charset="-128"/>
              <a:ea typeface="ＭＳ 明朝" panose="02020609040205080304" pitchFamily="17" charset="-128"/>
            </a:rPr>
            <a:t>Ｖ２＝ ｖ２ </a:t>
          </a:r>
          <a:r>
            <a:rPr kumimoji="1" lang="en-US" altLang="ja-JP" sz="1100" b="0">
              <a:latin typeface="ＭＳ 明朝" panose="02020609040205080304" pitchFamily="17" charset="-128"/>
              <a:ea typeface="ＭＳ 明朝" panose="02020609040205080304" pitchFamily="17" charset="-128"/>
            </a:rPr>
            <a:t>× </a:t>
          </a:r>
          <a:r>
            <a:rPr kumimoji="1" lang="ja-JP" altLang="en-US" sz="1100" b="0">
              <a:latin typeface="ＭＳ 明朝" panose="02020609040205080304" pitchFamily="17" charset="-128"/>
              <a:ea typeface="ＭＳ 明朝" panose="02020609040205080304" pitchFamily="17" charset="-128"/>
            </a:rPr>
            <a:t>Ａ</a:t>
          </a:r>
          <a:endParaRPr kumimoji="1" lang="en-US" altLang="ja-JP" sz="1100" b="0">
            <a:latin typeface="ＭＳ 明朝" panose="02020609040205080304" pitchFamily="17" charset="-128"/>
            <a:ea typeface="ＭＳ 明朝" panose="02020609040205080304" pitchFamily="17" charset="-128"/>
          </a:endParaRPr>
        </a:p>
      </xdr:txBody>
    </xdr:sp>
    <xdr:clientData/>
  </xdr:oneCellAnchor>
  <xdr:oneCellAnchor>
    <xdr:from>
      <xdr:col>2</xdr:col>
      <xdr:colOff>256761</xdr:colOff>
      <xdr:row>142</xdr:row>
      <xdr:rowOff>115958</xdr:rowOff>
    </xdr:from>
    <xdr:ext cx="996491" cy="286297"/>
    <mc:AlternateContent xmlns:mc="http://schemas.openxmlformats.org/markup-compatibility/2006" xmlns:a14="http://schemas.microsoft.com/office/drawing/2010/main">
      <mc:Choice Requires="a14">
        <xdr:sp macro="" textlink="">
          <xdr:nvSpPr>
            <xdr:cNvPr id="8" name="テキスト ボックス 7"/>
            <xdr:cNvSpPr txBox="1"/>
          </xdr:nvSpPr>
          <xdr:spPr>
            <a:xfrm>
              <a:off x="969065" y="25692654"/>
              <a:ext cx="996491" cy="286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ri</m:t>
                    </m:r>
                    <m:r>
                      <m:rPr>
                        <m:nor/>
                      </m:rPr>
                      <a:rPr kumimoji="1" lang="en-US" altLang="ja-JP" sz="1100" b="0" i="0">
                        <a:latin typeface="ＭＳ 明朝" panose="02020609040205080304" pitchFamily="17" charset="-128"/>
                        <a:ea typeface="ＭＳ 明朝" panose="02020609040205080304" pitchFamily="17" charset="-128"/>
                      </a:rPr>
                      <m:t> </m:t>
                    </m:r>
                    <m:r>
                      <a:rPr kumimoji="1" lang="en-US" altLang="ja-JP" sz="1100" b="0" i="1">
                        <a:latin typeface="Cambria Math" panose="02040503050406030204" pitchFamily="18" charset="0"/>
                      </a:rPr>
                      <m:t>= </m:t>
                    </m:r>
                    <m:f>
                      <m:fPr>
                        <m:ctrlPr>
                          <a:rPr kumimoji="1" lang="en-US" altLang="ja-JP" sz="1100" b="0" i="1">
                            <a:latin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b</m:t>
                        </m:r>
                      </m:den>
                    </m:f>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8" name="テキスト ボックス 7"/>
            <xdr:cNvSpPr txBox="1"/>
          </xdr:nvSpPr>
          <xdr:spPr>
            <a:xfrm>
              <a:off x="969065" y="25692654"/>
              <a:ext cx="996491" cy="286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"ri "</a:t>
              </a:r>
              <a:r>
                <a:rPr kumimoji="1" lang="en-US" altLang="ja-JP" sz="1100" b="0" i="0">
                  <a:latin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 b</a:t>
              </a:r>
              <a:r>
                <a:rPr kumimoji="1" lang="en-US" altLang="ja-JP" sz="1100" b="0" i="0">
                  <a:latin typeface="Cambria Math" panose="02040503050406030204" pitchFamily="18" charset="0"/>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91109</xdr:colOff>
      <xdr:row>146</xdr:row>
      <xdr:rowOff>107674</xdr:rowOff>
    </xdr:from>
    <xdr:ext cx="3574312" cy="318805"/>
    <mc:AlternateContent xmlns:mc="http://schemas.openxmlformats.org/markup-compatibility/2006" xmlns:a14="http://schemas.microsoft.com/office/drawing/2010/main">
      <mc:Choice Requires="a14">
        <xdr:sp macro="" textlink="">
          <xdr:nvSpPr>
            <xdr:cNvPr id="9" name="テキスト ボックス 8"/>
            <xdr:cNvSpPr txBox="1"/>
          </xdr:nvSpPr>
          <xdr:spPr>
            <a:xfrm>
              <a:off x="803413" y="22661217"/>
              <a:ext cx="3574312" cy="318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V</m:t>
                    </m:r>
                    <m:r>
                      <m:rPr>
                        <m:nor/>
                      </m:rPr>
                      <a:rPr kumimoji="1" lang="en-US" altLang="ja-JP" sz="1100" b="0" i="0">
                        <a:latin typeface="ＭＳ 明朝" panose="02020609040205080304" pitchFamily="17" charset="-128"/>
                        <a:ea typeface="ＭＳ 明朝" panose="02020609040205080304" pitchFamily="17" charset="-128"/>
                      </a:rPr>
                      <m:t>1 </m:t>
                    </m:r>
                    <m:r>
                      <a:rPr kumimoji="1" lang="en-US" altLang="ja-JP" sz="1100" b="0" i="1">
                        <a:solidFill>
                          <a:schemeClr val="tx1"/>
                        </a:solidFill>
                        <a:effectLst/>
                        <a:latin typeface="Cambria Math" panose="02040503050406030204" pitchFamily="18" charset="0"/>
                        <a:ea typeface="+mn-ea"/>
                        <a:cs typeface="+mn-cs"/>
                      </a:rPr>
                      <m:t>=</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ti</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f</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1</m:t>
                        </m:r>
                      </m:num>
                      <m:den>
                        <m:r>
                          <m:rPr>
                            <m:nor/>
                          </m:rPr>
                          <a:rPr kumimoji="1" lang="en-US" altLang="ja-JP" sz="1100" b="0" i="0">
                            <a:latin typeface="ＭＳ 明朝" panose="02020609040205080304" pitchFamily="17" charset="-128"/>
                            <a:ea typeface="ＭＳ 明朝" panose="02020609040205080304" pitchFamily="17" charset="-128"/>
                          </a:rPr>
                          <m:t>360</m:t>
                        </m:r>
                      </m:den>
                    </m:f>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9" name="テキスト ボックス 8"/>
            <xdr:cNvSpPr txBox="1"/>
          </xdr:nvSpPr>
          <xdr:spPr>
            <a:xfrm>
              <a:off x="803413" y="22661217"/>
              <a:ext cx="3574312" cy="318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"V1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latin typeface="Cambria Math" panose="02040503050406030204" pitchFamily="18" charset="0"/>
                  <a:ea typeface="ＭＳ 明朝" panose="02020609040205080304" pitchFamily="17" charset="-128"/>
                </a:rPr>
                <a:t>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ti × f × A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"1</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360</a:t>
              </a:r>
              <a:r>
                <a:rPr kumimoji="1" lang="en-US" altLang="ja-JP" sz="1100" b="0" i="0">
                  <a:latin typeface="Cambria Math" panose="02040503050406030204" pitchFamily="18" charset="0"/>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107675</xdr:colOff>
      <xdr:row>149</xdr:row>
      <xdr:rowOff>16565</xdr:rowOff>
    </xdr:from>
    <xdr:ext cx="2351733" cy="290144"/>
    <mc:AlternateContent xmlns:mc="http://schemas.openxmlformats.org/markup-compatibility/2006" xmlns:a14="http://schemas.microsoft.com/office/drawing/2010/main">
      <mc:Choice Requires="a14">
        <xdr:sp macro="" textlink="">
          <xdr:nvSpPr>
            <xdr:cNvPr id="11" name="テキスト ボックス 10"/>
            <xdr:cNvSpPr txBox="1"/>
          </xdr:nvSpPr>
          <xdr:spPr>
            <a:xfrm>
              <a:off x="819979" y="23116761"/>
              <a:ext cx="2351733" cy="290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y</m:t>
                    </m:r>
                    <m:r>
                      <m:rPr>
                        <m:nor/>
                      </m:rPr>
                      <a:rPr kumimoji="1" lang="en-US" altLang="ja-JP" sz="1100" b="0" i="0">
                        <a:latin typeface="ＭＳ 明朝" panose="02020609040205080304" pitchFamily="17" charset="-128"/>
                        <a:ea typeface="ＭＳ 明朝" panose="02020609040205080304" pitchFamily="17" charset="-128"/>
                      </a:rPr>
                      <m:t> </m:t>
                    </m:r>
                    <m:r>
                      <a:rPr kumimoji="1" lang="en-US" altLang="ja-JP" sz="1100" b="0" i="1">
                        <a:solidFill>
                          <a:schemeClr val="tx1"/>
                        </a:solidFill>
                        <a:effectLst/>
                        <a:latin typeface="Cambria Math" panose="02040503050406030204" pitchFamily="18" charset="0"/>
                        <a:ea typeface="+mn-ea"/>
                        <a:cs typeface="+mn-cs"/>
                      </a:rPr>
                      <m:t>=</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ti</m:t>
                    </m:r>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11" name="テキスト ボックス 10"/>
            <xdr:cNvSpPr txBox="1"/>
          </xdr:nvSpPr>
          <xdr:spPr>
            <a:xfrm>
              <a:off x="819979" y="23116761"/>
              <a:ext cx="2351733" cy="290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"y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latin typeface="Cambria Math" panose="02040503050406030204" pitchFamily="18" charset="0"/>
                  <a:ea typeface="ＭＳ 明朝" panose="02020609040205080304" pitchFamily="17" charset="-128"/>
                </a:rPr>
                <a:t>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ti</a:t>
              </a:r>
              <a:r>
                <a:rPr kumimoji="1" lang="ja-JP" altLang="en-US" sz="1100" b="0" i="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115956</xdr:colOff>
      <xdr:row>152</xdr:row>
      <xdr:rowOff>132522</xdr:rowOff>
    </xdr:from>
    <xdr:ext cx="3170547" cy="378950"/>
    <mc:AlternateContent xmlns:mc="http://schemas.openxmlformats.org/markup-compatibility/2006" xmlns:a14="http://schemas.microsoft.com/office/drawing/2010/main">
      <mc:Choice Requires="a14">
        <xdr:sp macro="" textlink="">
          <xdr:nvSpPr>
            <xdr:cNvPr id="12" name="テキスト ボックス 11"/>
            <xdr:cNvSpPr txBox="1"/>
          </xdr:nvSpPr>
          <xdr:spPr>
            <a:xfrm>
              <a:off x="828260" y="23779370"/>
              <a:ext cx="3170547" cy="378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kumimoji="1" lang="en-US" altLang="ja-JP" sz="1100" i="1">
                            <a:latin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dy</m:t>
                        </m:r>
                      </m:num>
                      <m:den>
                        <m:r>
                          <m:rPr>
                            <m:nor/>
                          </m:rPr>
                          <a:rPr kumimoji="1" lang="en-US" altLang="ja-JP" sz="1100" b="0" i="0">
                            <a:latin typeface="ＭＳ 明朝" panose="02020609040205080304" pitchFamily="17" charset="-128"/>
                            <a:ea typeface="ＭＳ 明朝" panose="02020609040205080304" pitchFamily="17" charset="-128"/>
                          </a:rPr>
                          <m:t>dti</m:t>
                        </m:r>
                      </m:den>
                    </m:f>
                    <m:r>
                      <a:rPr kumimoji="1" lang="en-US" altLang="ja-JP" sz="1100" b="0" i="1">
                        <a:latin typeface="Cambria Math" panose="02040503050406030204" pitchFamily="18" charset="0"/>
                      </a:rPr>
                      <m:t> </m:t>
                    </m:r>
                    <m:r>
                      <a:rPr kumimoji="1" lang="en-US" altLang="ja-JP" sz="110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 </m:t>
                    </m:r>
                    <m:f>
                      <m:fPr>
                        <m:ctrlPr>
                          <a:rPr kumimoji="1" lang="en-US" altLang="ja-JP" sz="110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d>
                          <m:dPr>
                            <m:ctrlPr>
                              <a:rPr kumimoji="1" lang="en-US" altLang="ja-JP" sz="1100" b="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r>
                              <m:rPr>
                                <m:nor/>
                              </m:rPr>
                              <a:rPr kumimoji="1" lang="en-US" altLang="ja-JP" sz="1100" b="0" i="0">
                                <a:latin typeface="ＭＳ 明朝" panose="02020609040205080304" pitchFamily="17" charset="-128"/>
                                <a:ea typeface="ＭＳ 明朝" panose="02020609040205080304" pitchFamily="17" charset="-128"/>
                              </a:rPr>
                              <m:t> </m:t>
                            </m:r>
                          </m:e>
                        </m:d>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n</m:t>
                        </m:r>
                        <m:r>
                          <m:rPr>
                            <m:nor/>
                          </m:rPr>
                          <a:rPr kumimoji="1" lang="en-US" altLang="ja-JP" sz="1100" b="0" i="0">
                            <a:latin typeface="ＭＳ 明朝" panose="02020609040205080304" pitchFamily="17" charset="-128"/>
                            <a:ea typeface="ＭＳ 明朝" panose="02020609040205080304" pitchFamily="17" charset="-128"/>
                          </a:rPr>
                          <m:t> ×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sSup>
                              <m:sSupPr>
                                <m:ctrlPr>
                                  <a:rPr kumimoji="1" lang="en-US" altLang="ja-JP" sz="1100" b="0" i="1">
                                    <a:solidFill>
                                      <a:schemeClr val="tx1"/>
                                    </a:solidFill>
                                    <a:effectLst/>
                                    <a:latin typeface="Cambria Math" panose="02040503050406030204" pitchFamily="18" charset="0"/>
                                    <a:ea typeface="+mn-ea"/>
                                    <a:cs typeface="+mn-cs"/>
                                  </a:rPr>
                                </m:ctrlPr>
                              </m:sSupPr>
                              <m:e>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ti</m:t>
                                </m:r>
                              </m:e>
                              <m:sup>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n</m:t>
                                </m:r>
                              </m:sup>
                            </m:sSup>
                            <m:r>
                              <a:rPr kumimoji="1" lang="en-US" altLang="ja-JP" sz="1100" b="0" i="1">
                                <a:solidFill>
                                  <a:schemeClr val="tx1"/>
                                </a:solidFill>
                                <a:effectLst/>
                                <a:latin typeface="Cambria Math" panose="02040503050406030204" pitchFamily="18" charset="0"/>
                                <a:ea typeface="+mn-ea"/>
                                <a:cs typeface="+mn-cs"/>
                              </a:rPr>
                              <m:t> </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b</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e>
                          <m:sup>
                            <m:r>
                              <m:rPr>
                                <m:nor/>
                              </m:rPr>
                              <a:rPr kumimoji="1" lang="en-US" altLang="ja-JP" sz="1100" b="0" i="0">
                                <a:latin typeface="ＭＳ 明朝" panose="02020609040205080304" pitchFamily="17" charset="-128"/>
                                <a:ea typeface="ＭＳ 明朝" panose="02020609040205080304" pitchFamily="17" charset="-128"/>
                              </a:rPr>
                              <m:t>2</m:t>
                            </m:r>
                          </m:sup>
                        </m:sSup>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oMath>
                </m:oMathPara>
              </a14:m>
              <a:endParaRPr kumimoji="1" lang="en-US" altLang="ja-JP" sz="1100" b="0">
                <a:latin typeface="ＭＳ 明朝" panose="02020609040205080304" pitchFamily="17" charset="-128"/>
                <a:ea typeface="ＭＳ 明朝" panose="02020609040205080304" pitchFamily="17" charset="-128"/>
              </a:endParaRPr>
            </a:p>
          </xdr:txBody>
        </xdr:sp>
      </mc:Choice>
      <mc:Fallback xmlns="">
        <xdr:sp macro="" textlink="">
          <xdr:nvSpPr>
            <xdr:cNvPr id="12" name="テキスト ボックス 11"/>
            <xdr:cNvSpPr txBox="1"/>
          </xdr:nvSpPr>
          <xdr:spPr>
            <a:xfrm>
              <a:off x="828260" y="23779370"/>
              <a:ext cx="3170547" cy="378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ＭＳ 明朝" panose="02020609040205080304" pitchFamily="17" charset="-128"/>
                  <a:ea typeface="ＭＳ 明朝" panose="02020609040205080304" pitchFamily="17" charset="-128"/>
                </a:rPr>
                <a:t>"dy</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dti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rPr>
                <a:t>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a × {</a:t>
              </a:r>
              <a:r>
                <a:rPr kumimoji="1" lang="en-US" altLang="ja-JP" sz="1100" b="0" i="0">
                  <a:latin typeface="Cambria Math" panose="02040503050406030204" pitchFamily="18" charset="0"/>
                  <a:ea typeface="Cambria Math" panose="02040503050406030204" pitchFamily="18" charset="0"/>
                </a:rPr>
                <a:t>" (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n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ti</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n</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 b )</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a:t>
              </a:r>
              <a:r>
                <a:rPr kumimoji="1" lang="ja-JP" altLang="en-US" sz="1100" b="0" i="0">
                  <a:latin typeface="ＭＳ 明朝" panose="02020609040205080304" pitchFamily="17" charset="-128"/>
                  <a:ea typeface="ＭＳ 明朝" panose="02020609040205080304" pitchFamily="17" charset="-128"/>
                </a:rPr>
                <a:t>"</a:t>
              </a:r>
              <a:endParaRPr kumimoji="1" lang="en-US" altLang="ja-JP" sz="1100" b="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74543</xdr:colOff>
      <xdr:row>156</xdr:row>
      <xdr:rowOff>124239</xdr:rowOff>
    </xdr:from>
    <xdr:ext cx="5506700" cy="276422"/>
    <mc:AlternateContent xmlns:mc="http://schemas.openxmlformats.org/markup-compatibility/2006" xmlns:a14="http://schemas.microsoft.com/office/drawing/2010/main">
      <mc:Choice Requires="a14">
        <xdr:sp macro="" textlink="">
          <xdr:nvSpPr>
            <xdr:cNvPr id="13" name="テキスト ボックス 12"/>
            <xdr:cNvSpPr txBox="1"/>
          </xdr:nvSpPr>
          <xdr:spPr>
            <a:xfrm>
              <a:off x="786847" y="28864891"/>
              <a:ext cx="5506700"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m:t>
                        </m:r>
                      </m:e>
                    </m:d>
                    <m:sSup>
                      <m:sSupPr>
                        <m:ctrlPr>
                          <a:rPr kumimoji="1" lang="en-US" altLang="ja-JP" sz="1050" b="0" i="1">
                            <a:latin typeface="Cambria Math" panose="02040503050406030204" pitchFamily="18" charset="0"/>
                            <a:ea typeface="Cambria Math" panose="02040503050406030204" pitchFamily="18" charset="0"/>
                          </a:rPr>
                        </m:ctrlPr>
                      </m:sSupPr>
                      <m:e>
                        <m:r>
                          <m:rPr>
                            <m:nor/>
                          </m:rPr>
                          <a:rPr kumimoji="1" lang="en-US" altLang="ja-JP" sz="1050" b="0" i="0">
                            <a:latin typeface="ＭＳ 明朝" panose="02020609040205080304" pitchFamily="17" charset="-128"/>
                            <a:ea typeface="ＭＳ 明朝" panose="02020609040205080304" pitchFamily="17" charset="-128"/>
                          </a:rPr>
                          <m:t>X</m:t>
                        </m:r>
                      </m:e>
                      <m:sup>
                        <m:r>
                          <m:rPr>
                            <m:nor/>
                          </m:rPr>
                          <a:rPr kumimoji="1" lang="en-US" altLang="ja-JP" sz="1050" b="0" i="0">
                            <a:latin typeface="ＭＳ 明朝" panose="02020609040205080304" pitchFamily="17" charset="-128"/>
                            <a:ea typeface="ＭＳ 明朝" panose="02020609040205080304" pitchFamily="17" charset="-128"/>
                          </a:rPr>
                          <m:t>2</m:t>
                        </m:r>
                      </m:sup>
                    </m:sSup>
                    <m:r>
                      <m:rPr>
                        <m:nor/>
                      </m:rPr>
                      <a:rPr kumimoji="1" lang="en-US" altLang="ja-JP" sz="1050" b="0" i="0">
                        <a:latin typeface="ＭＳ 明朝" panose="02020609040205080304" pitchFamily="17" charset="-128"/>
                        <a:ea typeface="ＭＳ 明朝" panose="02020609040205080304" pitchFamily="17" charset="-128"/>
                      </a:rPr>
                      <m:t>+</m:t>
                    </m:r>
                    <m:d>
                      <m:dPr>
                        <m:begChr m:val="["/>
                        <m:endChr m:val="]"/>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2</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− 2</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a</m:t>
                        </m:r>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n</m:t>
                            </m:r>
                            <m:r>
                              <m:rPr>
                                <m:nor/>
                              </m:rPr>
                              <a:rPr kumimoji="1" lang="en-US" altLang="ja-JP" sz="1050" b="0" i="0">
                                <a:latin typeface="ＭＳ 明朝" panose="02020609040205080304" pitchFamily="17" charset="-128"/>
                                <a:ea typeface="ＭＳ 明朝" panose="02020609040205080304" pitchFamily="17" charset="-128"/>
                              </a:rPr>
                              <m:t>−1</m:t>
                            </m:r>
                          </m:e>
                        </m:d>
                        <m:r>
                          <m:rPr>
                            <m:nor/>
                          </m:rPr>
                          <a:rPr kumimoji="1" lang="en-US" altLang="ja-JP" sz="1050" b="0" i="0">
                            <a:latin typeface="ＭＳ 明朝" panose="02020609040205080304" pitchFamily="17" charset="-128"/>
                            <a:ea typeface="ＭＳ 明朝" panose="02020609040205080304" pitchFamily="17" charset="-128"/>
                          </a:rPr>
                          <m:t> </m:t>
                        </m:r>
                      </m:e>
                    </m:d>
                    <m:r>
                      <m:rPr>
                        <m:nor/>
                      </m:rPr>
                      <a:rPr kumimoji="1" lang="en-US" altLang="ja-JP" sz="1050" b="0" i="0">
                        <a:latin typeface="ＭＳ 明朝" panose="02020609040205080304" pitchFamily="17" charset="-128"/>
                        <a:ea typeface="ＭＳ 明朝" panose="02020609040205080304" pitchFamily="17" charset="-128"/>
                      </a:rPr>
                      <m:t>X</m:t>
                    </m:r>
                    <m:r>
                      <m:rPr>
                        <m:nor/>
                      </m:rPr>
                      <a:rPr kumimoji="1" lang="en-US" altLang="ja-JP" sz="1050" b="0" i="0">
                        <a:latin typeface="ＭＳ 明朝" panose="02020609040205080304" pitchFamily="17" charset="-128"/>
                        <a:ea typeface="ＭＳ 明朝" panose="02020609040205080304" pitchFamily="17" charset="-128"/>
                      </a:rPr>
                      <m:t>+</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m:t>
                    </m:r>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a</m:t>
                        </m:r>
                        <m:r>
                          <m:rPr>
                            <m:nor/>
                          </m:rPr>
                          <a:rPr kumimoji="1" lang="en-US" altLang="ja-JP" sz="1050" b="0" i="0">
                            <a:latin typeface="ＭＳ 明朝" panose="02020609040205080304" pitchFamily="17" charset="-128"/>
                            <a:ea typeface="ＭＳ 明朝" panose="02020609040205080304" pitchFamily="17" charset="-128"/>
                          </a:rPr>
                          <m:t> </m:t>
                        </m:r>
                      </m:e>
                    </m:d>
                    <m:r>
                      <m:rPr>
                        <m:nor/>
                      </m:rPr>
                      <a:rPr kumimoji="1" lang="en-US" altLang="ja-JP" sz="1050" b="0" i="0">
                        <a:latin typeface="ＭＳ 明朝" panose="02020609040205080304" pitchFamily="17" charset="-128"/>
                        <a:ea typeface="ＭＳ 明朝" panose="02020609040205080304" pitchFamily="17" charset="-128"/>
                      </a:rPr>
                      <m:t>= 0</m:t>
                    </m:r>
                  </m:oMath>
                </m:oMathPara>
              </a14:m>
              <a:endParaRPr kumimoji="1" lang="en-US" altLang="ja-JP" sz="1050" b="0">
                <a:latin typeface="ＭＳ 明朝" panose="02020609040205080304" pitchFamily="17" charset="-128"/>
                <a:ea typeface="ＭＳ 明朝" panose="02020609040205080304" pitchFamily="17" charset="-128"/>
              </a:endParaRPr>
            </a:p>
          </xdr:txBody>
        </xdr:sp>
      </mc:Choice>
      <mc:Fallback xmlns="">
        <xdr:sp macro="" textlink="">
          <xdr:nvSpPr>
            <xdr:cNvPr id="13" name="テキスト ボックス 12"/>
            <xdr:cNvSpPr txBox="1"/>
          </xdr:nvSpPr>
          <xdr:spPr>
            <a:xfrm>
              <a:off x="786847" y="28864891"/>
              <a:ext cx="5506700"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Fc </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"X</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2b − 2b × Fc + a</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n−1</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ＭＳ 明朝" panose="02020609040205080304" pitchFamily="17" charset="-128"/>
                </a:rPr>
                <a:t>" ]"X+b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b + Fc × b − a </a:t>
              </a:r>
              <a:r>
                <a:rPr kumimoji="1" lang="en-US" altLang="ja-JP" sz="1050" b="0" i="0">
                  <a:latin typeface="Cambria Math" panose="02040503050406030204" pitchFamily="18" charset="0"/>
                  <a:ea typeface="ＭＳ 明朝" panose="02020609040205080304" pitchFamily="17" charset="-128"/>
                </a:rPr>
                <a:t>" )"= 0</a:t>
              </a:r>
              <a:r>
                <a:rPr kumimoji="1" lang="ja-JP" altLang="en-US" sz="1050" b="0" i="0">
                  <a:latin typeface="ＭＳ 明朝" panose="02020609040205080304" pitchFamily="17" charset="-128"/>
                  <a:ea typeface="ＭＳ 明朝" panose="02020609040205080304" pitchFamily="17" charset="-128"/>
                </a:rPr>
                <a:t>"</a:t>
              </a:r>
              <a:endParaRPr kumimoji="1" lang="en-US" altLang="ja-JP" sz="1050" b="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49696</xdr:colOff>
      <xdr:row>160</xdr:row>
      <xdr:rowOff>165653</xdr:rowOff>
    </xdr:from>
    <xdr:ext cx="3269869" cy="397416"/>
    <mc:AlternateContent xmlns:mc="http://schemas.openxmlformats.org/markup-compatibility/2006" xmlns:a14="http://schemas.microsoft.com/office/drawing/2010/main">
      <mc:Choice Requires="a14">
        <xdr:sp macro="" textlink="">
          <xdr:nvSpPr>
            <xdr:cNvPr id="14" name="テキスト ボックス 13"/>
            <xdr:cNvSpPr txBox="1"/>
          </xdr:nvSpPr>
          <xdr:spPr>
            <a:xfrm>
              <a:off x="762000" y="25303370"/>
              <a:ext cx="3269869" cy="397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X</m:t>
                    </m:r>
                    <m:r>
                      <m:rPr>
                        <m:nor/>
                      </m:rPr>
                      <a:rPr kumimoji="1" lang="en-US" altLang="ja-JP" sz="1100" b="0" i="0">
                        <a:latin typeface="ＭＳ 明朝" panose="02020609040205080304" pitchFamily="17" charset="-128"/>
                        <a:ea typeface="ＭＳ 明朝" panose="02020609040205080304" pitchFamily="17" charset="-128"/>
                      </a:rPr>
                      <m:t> </m:t>
                    </m:r>
                    <m:r>
                      <a:rPr kumimoji="1" lang="ja-JP" altLang="en-US" sz="1100" b="0" i="1">
                        <a:latin typeface="Cambria Math" panose="02040503050406030204" pitchFamily="18" charset="0"/>
                        <a:ea typeface="ＭＳ 明朝" panose="02020609040205080304" pitchFamily="17" charset="-128"/>
                      </a:rPr>
                      <m:t>＝</m:t>
                    </m:r>
                    <m:r>
                      <a:rPr kumimoji="1" lang="en-US" altLang="ja-JP" sz="1100" b="0" i="1">
                        <a:latin typeface="Cambria Math" panose="02040503050406030204" pitchFamily="18" charset="0"/>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m:t>
                        </m:r>
                        <m:r>
                          <m:rPr>
                            <m:nor/>
                          </m:rPr>
                          <a:rPr kumimoji="1" lang="en-US" altLang="ja-JP" sz="1100" b="0" i="0">
                            <a:latin typeface="ＭＳ 明朝" panose="02020609040205080304" pitchFamily="17" charset="-128"/>
                            <a:ea typeface="ＭＳ 明朝" panose="02020609040205080304" pitchFamily="17" charset="-128"/>
                          </a:rPr>
                          <m:t>B</m:t>
                        </m:r>
                        <m:r>
                          <m:rPr>
                            <m:nor/>
                          </m:rPr>
                          <a:rPr kumimoji="1" lang="en-US" altLang="ja-JP" sz="1100" b="0" i="0">
                            <a:latin typeface="ＭＳ 明朝" panose="02020609040205080304" pitchFamily="17" charset="-128"/>
                            <a:ea typeface="ＭＳ 明朝" panose="02020609040205080304" pitchFamily="17" charset="-128"/>
                          </a:rPr>
                          <m:t> + </m:t>
                        </m:r>
                        <m:rad>
                          <m:radPr>
                            <m:degHide m:val="on"/>
                            <m:ctrlPr>
                              <a:rPr kumimoji="1" lang="en-US" altLang="ja-JP" sz="1100" b="0" i="1">
                                <a:latin typeface="Cambria Math" panose="02040503050406030204" pitchFamily="18" charset="0"/>
                                <a:ea typeface="Cambria Math" panose="02040503050406030204" pitchFamily="18" charset="0"/>
                              </a:rPr>
                            </m:ctrlPr>
                          </m:radPr>
                          <m:deg/>
                          <m:e>
                            <m:r>
                              <a:rPr kumimoji="1" lang="en-US" altLang="ja-JP" sz="1100" b="0" i="1">
                                <a:latin typeface="Cambria Math" panose="02040503050406030204" pitchFamily="18" charset="0"/>
                                <a:ea typeface="Cambria Math" panose="02040503050406030204" pitchFamily="18" charset="0"/>
                              </a:rPr>
                              <m:t>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B</m:t>
                                </m:r>
                              </m:e>
                              <m:sup>
                                <m:r>
                                  <m:rPr>
                                    <m:nor/>
                                  </m:rPr>
                                  <a:rPr kumimoji="1" lang="en-US" altLang="ja-JP" sz="1100" b="0" i="0">
                                    <a:latin typeface="ＭＳ 明朝" panose="02020609040205080304" pitchFamily="17" charset="-128"/>
                                    <a:ea typeface="ＭＳ 明朝" panose="02020609040205080304" pitchFamily="17" charset="-128"/>
                                  </a:rPr>
                                  <m:t>2</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− 4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C</m:t>
                            </m:r>
                          </m:e>
                        </m:rad>
                      </m:num>
                      <m:den>
                        <m:r>
                          <m:rPr>
                            <m:nor/>
                          </m:rPr>
                          <a:rPr kumimoji="1" lang="en-US" altLang="ja-JP" sz="1100" b="0" i="0">
                            <a:latin typeface="ＭＳ 明朝" panose="02020609040205080304" pitchFamily="17" charset="-128"/>
                            <a:ea typeface="ＭＳ 明朝" panose="02020609040205080304" pitchFamily="17" charset="-128"/>
                          </a:rPr>
                          <m:t>2 × </m:t>
                        </m:r>
                        <m:r>
                          <m:rPr>
                            <m:nor/>
                          </m:rPr>
                          <a:rPr kumimoji="1" lang="en-US" altLang="ja-JP" sz="1100" b="0" i="0">
                            <a:latin typeface="ＭＳ 明朝" panose="02020609040205080304" pitchFamily="17" charset="-128"/>
                            <a:ea typeface="ＭＳ 明朝" panose="02020609040205080304" pitchFamily="17" charset="-128"/>
                          </a:rPr>
                          <m:t>A</m:t>
                        </m:r>
                      </m:den>
                    </m:f>
                    <m:r>
                      <a:rPr kumimoji="1" lang="ja-JP" altLang="en-US" sz="1100" b="0" i="1">
                        <a:latin typeface="Cambria Math" panose="02040503050406030204" pitchFamily="18" charset="0"/>
                        <a:ea typeface="Cambria Math" panose="02040503050406030204" pitchFamily="18" charset="0"/>
                      </a:rPr>
                      <m:t>　　　　</m:t>
                    </m:r>
                    <m:r>
                      <m:rPr>
                        <m:nor/>
                      </m:rPr>
                      <a:rPr kumimoji="1" lang="en-US" altLang="ja-JP" sz="1100" b="0" i="0">
                        <a:latin typeface="Cambria Math" panose="02040503050406030204" pitchFamily="18" charset="0"/>
                        <a:ea typeface="Cambria Math" panose="02040503050406030204" pitchFamily="18" charset="0"/>
                      </a:rPr>
                      <m:t>ti</m:t>
                    </m:r>
                    <m:r>
                      <a:rPr kumimoji="1" lang="ja-JP" altLang="en-US" sz="1100" b="0" i="1">
                        <a:latin typeface="Cambria Math" panose="02040503050406030204" pitchFamily="18" charset="0"/>
                        <a:ea typeface="Cambria Math" panose="02040503050406030204" pitchFamily="18" charset="0"/>
                      </a:rPr>
                      <m:t>　</m:t>
                    </m:r>
                    <m:r>
                      <m:rPr>
                        <m:nor/>
                      </m:rPr>
                      <a:rPr kumimoji="1" lang="en-US" altLang="ja-JP" sz="1100" b="0" i="0">
                        <a:latin typeface="Cambria Math" panose="02040503050406030204" pitchFamily="18" charset="0"/>
                        <a:ea typeface="Cambria Math" panose="02040503050406030204" pitchFamily="18" charset="0"/>
                      </a:rPr>
                      <m:t>=</m:t>
                    </m:r>
                    <m:r>
                      <a:rPr kumimoji="1" lang="ja-JP" altLang="en-US" sz="1100" b="0" i="1">
                        <a:latin typeface="Cambria Math" panose="02040503050406030204" pitchFamily="18" charset="0"/>
                        <a:ea typeface="Cambria Math" panose="02040503050406030204" pitchFamily="18" charset="0"/>
                      </a:rPr>
                      <m:t>　</m:t>
                    </m:r>
                    <m:rad>
                      <m:radPr>
                        <m:ctrlPr>
                          <a:rPr kumimoji="1" lang="en-US" altLang="ja-JP" sz="1100" b="0" i="1">
                            <a:latin typeface="Cambria Math" panose="02040503050406030204" pitchFamily="18" charset="0"/>
                            <a:ea typeface="Cambria Math" panose="02040503050406030204" pitchFamily="18" charset="0"/>
                          </a:rPr>
                        </m:ctrlPr>
                      </m:radPr>
                      <m:deg>
                        <m:r>
                          <m:rPr>
                            <m:nor/>
                            <m:brk m:alnAt="7"/>
                          </m:rPr>
                          <a:rPr kumimoji="1" lang="en-US" altLang="ja-JP" sz="1100" b="0" i="0">
                            <a:latin typeface="Cambria Math" panose="02040503050406030204" pitchFamily="18" charset="0"/>
                            <a:ea typeface="Cambria Math" panose="02040503050406030204" pitchFamily="18" charset="0"/>
                          </a:rPr>
                          <m:t>n</m:t>
                        </m:r>
                      </m:deg>
                      <m:e>
                        <m:r>
                          <m:rPr>
                            <m:nor/>
                          </m:rPr>
                          <a:rPr kumimoji="1" lang="en-US" altLang="ja-JP" sz="1100" b="0" i="0">
                            <a:latin typeface="Cambria Math" panose="02040503050406030204" pitchFamily="18" charset="0"/>
                            <a:ea typeface="Cambria Math" panose="02040503050406030204" pitchFamily="18" charset="0"/>
                          </a:rPr>
                          <m:t>X</m:t>
                        </m:r>
                      </m:e>
                    </m:rad>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14" name="テキスト ボックス 13"/>
            <xdr:cNvSpPr txBox="1"/>
          </xdr:nvSpPr>
          <xdr:spPr>
            <a:xfrm>
              <a:off x="762000" y="25303370"/>
              <a:ext cx="3269869" cy="397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"X </a:t>
              </a:r>
              <a:r>
                <a:rPr kumimoji="1" lang="ja-JP" altLang="en-US" sz="1100" b="0" i="0">
                  <a:latin typeface="Cambria Math" panose="02040503050406030204" pitchFamily="18" charset="0"/>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−B + </a:t>
              </a:r>
              <a:r>
                <a:rPr kumimoji="1" lang="en-US" altLang="ja-JP" sz="1100" b="0" i="0">
                  <a:latin typeface="Cambria Math" panose="02040503050406030204" pitchFamily="18" charset="0"/>
                  <a:ea typeface="Cambria Math" panose="02040503050406030204" pitchFamily="18" charset="0"/>
                </a:rPr>
                <a:t>" √( "</a:t>
              </a:r>
              <a:r>
                <a:rPr kumimoji="1" lang="en-US" altLang="ja-JP" sz="1100" b="0" i="0">
                  <a:latin typeface="ＭＳ 明朝" panose="02020609040205080304" pitchFamily="17" charset="-128"/>
                  <a:ea typeface="ＭＳ 明朝" panose="02020609040205080304" pitchFamily="17" charset="-128"/>
                </a:rPr>
                <a:t>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− 4 × A × 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 × A</a:t>
              </a:r>
              <a:r>
                <a:rPr kumimoji="1" lang="en-US" altLang="ja-JP" sz="1100" b="0" i="0">
                  <a:latin typeface="Cambria Math" panose="02040503050406030204" pitchFamily="18" charset="0"/>
                  <a:ea typeface="ＭＳ 明朝" panose="02020609040205080304" pitchFamily="17" charset="-128"/>
                </a:rPr>
                <a:t>"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"ti</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√("n" &amp;"X"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twoCellAnchor>
    <xdr:from>
      <xdr:col>1</xdr:col>
      <xdr:colOff>0</xdr:colOff>
      <xdr:row>33</xdr:row>
      <xdr:rowOff>1</xdr:rowOff>
    </xdr:from>
    <xdr:to>
      <xdr:col>18</xdr:col>
      <xdr:colOff>240195</xdr:colOff>
      <xdr:row>60</xdr:row>
      <xdr:rowOff>0</xdr:rowOff>
    </xdr:to>
    <xdr:sp macro="" textlink="">
      <xdr:nvSpPr>
        <xdr:cNvPr id="15" name="正方形/長方形 14"/>
        <xdr:cNvSpPr/>
      </xdr:nvSpPr>
      <xdr:spPr>
        <a:xfrm>
          <a:off x="356152" y="5913784"/>
          <a:ext cx="6294782" cy="501097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320675</xdr:colOff>
      <xdr:row>241</xdr:row>
      <xdr:rowOff>0</xdr:rowOff>
    </xdr:from>
    <xdr:to>
      <xdr:col>17</xdr:col>
      <xdr:colOff>0</xdr:colOff>
      <xdr:row>241</xdr:row>
      <xdr:rowOff>175895</xdr:rowOff>
    </xdr:to>
    <xdr:sp macro="" textlink="">
      <xdr:nvSpPr>
        <xdr:cNvPr id="3" name="図形 17">
          <a:extLst>
            <a:ext uri="{FF2B5EF4-FFF2-40B4-BE49-F238E27FC236}">
              <a16:creationId xmlns:a16="http://schemas.microsoft.com/office/drawing/2014/main" id="{00000000-0008-0000-0500-000003000000}"/>
            </a:ext>
          </a:extLst>
        </xdr:cNvPr>
        <xdr:cNvSpPr/>
      </xdr:nvSpPr>
      <xdr:spPr>
        <a:xfrm>
          <a:off x="2435225" y="36118800"/>
          <a:ext cx="3556000" cy="175895"/>
        </a:xfrm>
        <a:custGeom>
          <a:avLst/>
          <a:gdLst/>
          <a:ahLst/>
          <a:cxnLst>
            <a:cxn ang="0">
              <a:pos x="0" y="20566337"/>
            </a:cxn>
            <a:cxn ang="0">
              <a:pos x="1163517938" y="17825523"/>
            </a:cxn>
            <a:cxn ang="0">
              <a:pos x="2028504036" y="34278586"/>
            </a:cxn>
            <a:cxn ang="0">
              <a:pos x="2147483647" y="0"/>
            </a:cxn>
            <a:cxn ang="0">
              <a:pos x="2147483647" y="0"/>
            </a:cxn>
          </a:cxnLst>
          <a:rect l="0" t="0" r="0" b="0"/>
          <a:pathLst>
            <a:path w="16384" h="16384">
              <a:moveTo>
                <a:pt x="0" y="9830"/>
              </a:moveTo>
              <a:lnTo>
                <a:pt x="152" y="8520"/>
              </a:lnTo>
              <a:lnTo>
                <a:pt x="265" y="16384"/>
              </a:lnTo>
              <a:lnTo>
                <a:pt x="569" y="0"/>
              </a:lnTo>
              <a:lnTo>
                <a:pt x="16384" y="0"/>
              </a:lnTo>
            </a:path>
          </a:pathLst>
        </a:custGeom>
        <a:noFill/>
        <a:ln w="9525" cap="flat" cmpd="sng">
          <a:solidFill>
            <a:srgbClr val="000000"/>
          </a:solidFill>
          <a:prstDash val="solid"/>
          <a:round/>
          <a:headEnd type="none" w="med" len="med"/>
          <a:tailEnd type="none" w="med" len="med"/>
        </a:ln>
      </xdr:spPr>
    </xdr:sp>
    <xdr:clientData/>
  </xdr:twoCellAnchor>
  <mc:AlternateContent xmlns:mc="http://schemas.openxmlformats.org/markup-compatibility/2006">
    <mc:Choice xmlns:a14="http://schemas.microsoft.com/office/drawing/2010/main" Requires="a14">
      <xdr:twoCellAnchor editAs="oneCell">
        <xdr:from>
          <xdr:col>2</xdr:col>
          <xdr:colOff>0</xdr:colOff>
          <xdr:row>179</xdr:row>
          <xdr:rowOff>0</xdr:rowOff>
        </xdr:from>
        <xdr:to>
          <xdr:col>18</xdr:col>
          <xdr:colOff>4763</xdr:colOff>
          <xdr:row>192</xdr:row>
          <xdr:rowOff>146396</xdr:rowOff>
        </xdr:to>
        <xdr:pic>
          <xdr:nvPicPr>
            <xdr:cNvPr id="4" name="図 3">
              <a:extLst>
                <a:ext uri="{FF2B5EF4-FFF2-40B4-BE49-F238E27FC236}">
                  <a16:creationId xmlns:a16="http://schemas.microsoft.com/office/drawing/2014/main" id="{5687D110-7D50-419B-89A7-C7DAA7ED84AF}"/>
                </a:ext>
              </a:extLst>
            </xdr:cNvPr>
            <xdr:cNvPicPr>
              <a:picLocks noChangeAspect="1" noChangeArrowheads="1"/>
              <a:extLst>
                <a:ext uri="{84589F7E-364E-4C9E-8A38-B11213B215E9}">
                  <a14:cameraTool cellRange="浸透_事業所・共同住宅kf表" spid="_x0000_s4739"/>
                </a:ext>
              </a:extLst>
            </xdr:cNvPicPr>
          </xdr:nvPicPr>
          <xdr:blipFill>
            <a:blip xmlns:r="http://schemas.openxmlformats.org/officeDocument/2006/relationships" r:embed="rId1"/>
            <a:srcRect/>
            <a:stretch>
              <a:fillRect/>
            </a:stretch>
          </xdr:blipFill>
          <xdr:spPr bwMode="auto">
            <a:xfrm>
              <a:off x="712304" y="23721391"/>
              <a:ext cx="5703198" cy="251522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304800</xdr:colOff>
      <xdr:row>177</xdr:row>
      <xdr:rowOff>104775</xdr:rowOff>
    </xdr:from>
    <xdr:to>
      <xdr:col>16</xdr:col>
      <xdr:colOff>257175</xdr:colOff>
      <xdr:row>191</xdr:row>
      <xdr:rowOff>85725</xdr:rowOff>
    </xdr:to>
    <xdr:sp macro="" textlink="">
      <xdr:nvSpPr>
        <xdr:cNvPr id="4292" name="AutoShape 196"/>
        <xdr:cNvSpPr>
          <a:spLocks noChangeAspect="1" noChangeArrowheads="1"/>
        </xdr:cNvSpPr>
      </xdr:nvSpPr>
      <xdr:spPr bwMode="auto">
        <a:xfrm>
          <a:off x="657225" y="23250525"/>
          <a:ext cx="5238750" cy="2514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207065</xdr:colOff>
      <xdr:row>99</xdr:row>
      <xdr:rowOff>157369</xdr:rowOff>
    </xdr:from>
    <xdr:ext cx="3377143" cy="501612"/>
    <mc:AlternateContent xmlns:mc="http://schemas.openxmlformats.org/markup-compatibility/2006" xmlns:a14="http://schemas.microsoft.com/office/drawing/2010/main">
      <mc:Choice Requires="a14">
        <xdr:sp macro="" textlink="">
          <xdr:nvSpPr>
            <xdr:cNvPr id="6" name="テキスト ボックス 5"/>
            <xdr:cNvSpPr txBox="1"/>
          </xdr:nvSpPr>
          <xdr:spPr>
            <a:xfrm>
              <a:off x="919369" y="10071652"/>
              <a:ext cx="3377143" cy="501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a:latin typeface="ＭＳ 明朝" panose="02020609040205080304" pitchFamily="17" charset="-128"/>
                  <a:ea typeface="ＭＳ 明朝" panose="02020609040205080304" pitchFamily="17" charset="-128"/>
                </a:rPr>
                <a:t>Σ</a:t>
              </a:r>
              <a:r>
                <a:rPr kumimoji="1" lang="ja-JP" altLang="en-US" sz="1100" b="0">
                  <a:latin typeface="ＭＳ 明朝" panose="02020609040205080304" pitchFamily="17" charset="-128"/>
                  <a:ea typeface="ＭＳ 明朝" panose="02020609040205080304" pitchFamily="17" charset="-128"/>
                </a:rPr>
                <a:t>Ｖ＝Ｖ１＋Ｖ２</a:t>
              </a:r>
              <a:endParaRPr kumimoji="1" lang="en-US" altLang="ja-JP" sz="1100" b="0">
                <a:latin typeface="ＭＳ 明朝" panose="02020609040205080304" pitchFamily="17" charset="-128"/>
                <a:ea typeface="ＭＳ 明朝" panose="02020609040205080304" pitchFamily="17" charset="-128"/>
              </a:endParaRPr>
            </a:p>
            <a:p>
              <a:pPr/>
              <a14:m>
                <m:oMathPara xmlns:m="http://schemas.openxmlformats.org/officeDocument/2006/math">
                  <m:oMathParaPr>
                    <m:jc m:val="left"/>
                  </m:oMathParaPr>
                  <m:oMath xmlns:m="http://schemas.openxmlformats.org/officeDocument/2006/math">
                    <m:r>
                      <m:rPr>
                        <m:nor/>
                      </m:rPr>
                      <a:rPr kumimoji="1" lang="ja-JP" altLang="en-US" sz="1100" b="0" i="0">
                        <a:latin typeface="ＭＳ 明朝" panose="02020609040205080304" pitchFamily="17" charset="-128"/>
                        <a:ea typeface="ＭＳ 明朝" panose="02020609040205080304" pitchFamily="17" charset="-128"/>
                      </a:rPr>
                      <m:t>Ｖ</m:t>
                    </m:r>
                    <m:r>
                      <a:rPr kumimoji="1" lang="ja-JP" altLang="en-US" sz="1100" b="0" i="1">
                        <a:latin typeface="Cambria Math" panose="02040503050406030204" pitchFamily="18" charset="0"/>
                        <a:ea typeface="ＭＳ 明朝" panose="02020609040205080304" pitchFamily="17" charset="-128"/>
                      </a:rPr>
                      <m:t>１＝</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ri</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 </m:t>
                    </m:r>
                    <m:r>
                      <m:rPr>
                        <m:nor/>
                      </m:rPr>
                      <a:rPr kumimoji="1" lang="en-US" altLang="ja-JP" sz="1100" b="0" i="0">
                        <a:latin typeface="ＭＳ 明朝" panose="02020609040205080304" pitchFamily="17" charset="-128"/>
                        <a:ea typeface="ＭＳ 明朝" panose="02020609040205080304" pitchFamily="17" charset="-128"/>
                      </a:rPr>
                      <m:t>ti</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f</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1</m:t>
                        </m:r>
                      </m:num>
                      <m:den>
                        <m:r>
                          <m:rPr>
                            <m:nor/>
                          </m:rPr>
                          <a:rPr kumimoji="1" lang="en-US" altLang="ja-JP" sz="1100" b="0" i="0">
                            <a:latin typeface="ＭＳ 明朝" panose="02020609040205080304" pitchFamily="17" charset="-128"/>
                            <a:ea typeface="ＭＳ 明朝" panose="02020609040205080304" pitchFamily="17" charset="-128"/>
                          </a:rPr>
                          <m:t>360</m:t>
                        </m:r>
                      </m:den>
                    </m:f>
                  </m:oMath>
                </m:oMathPara>
              </a14:m>
              <a:endParaRPr kumimoji="1" lang="en-US" altLang="ja-JP" sz="1100">
                <a:latin typeface="ＭＳ 明朝" panose="02020609040205080304" pitchFamily="17" charset="-128"/>
                <a:ea typeface="ＭＳ 明朝" panose="02020609040205080304" pitchFamily="17" charset="-128"/>
              </a:endParaRPr>
            </a:p>
          </xdr:txBody>
        </xdr:sp>
      </mc:Choice>
      <mc:Fallback xmlns="">
        <xdr:sp macro="" textlink="">
          <xdr:nvSpPr>
            <xdr:cNvPr id="6" name="テキスト ボックス 5"/>
            <xdr:cNvSpPr txBox="1"/>
          </xdr:nvSpPr>
          <xdr:spPr>
            <a:xfrm>
              <a:off x="919369" y="10071652"/>
              <a:ext cx="3377143" cy="501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a:latin typeface="ＭＳ 明朝" panose="02020609040205080304" pitchFamily="17" charset="-128"/>
                  <a:ea typeface="ＭＳ 明朝" panose="02020609040205080304" pitchFamily="17" charset="-128"/>
                </a:rPr>
                <a:t>Σ</a:t>
              </a:r>
              <a:r>
                <a:rPr kumimoji="1" lang="ja-JP" altLang="en-US" sz="1100" b="0">
                  <a:latin typeface="ＭＳ 明朝" panose="02020609040205080304" pitchFamily="17" charset="-128"/>
                  <a:ea typeface="ＭＳ 明朝" panose="02020609040205080304" pitchFamily="17" charset="-128"/>
                </a:rPr>
                <a:t>Ｖ＝Ｖ１＋Ｖ２</a:t>
              </a:r>
              <a:endParaRPr kumimoji="1" lang="en-US" altLang="ja-JP" sz="1100" b="0">
                <a:latin typeface="ＭＳ 明朝" panose="02020609040205080304" pitchFamily="17" charset="-128"/>
                <a:ea typeface="ＭＳ 明朝" panose="02020609040205080304" pitchFamily="17" charset="-128"/>
              </a:endParaRPr>
            </a:p>
            <a:p>
              <a:pPr/>
              <a:r>
                <a:rPr kumimoji="1" lang="ja-JP" altLang="en-US" sz="1100" b="0" i="0">
                  <a:latin typeface="Cambria Math" panose="02040503050406030204" pitchFamily="18" charset="0"/>
                  <a:ea typeface="ＭＳ 明朝" panose="02020609040205080304" pitchFamily="17" charset="-128"/>
                </a:rPr>
                <a:t>"Ｖ" １＝</a:t>
              </a:r>
              <a:r>
                <a:rPr kumimoji="1" lang="en-US" altLang="ja-JP" sz="1100" b="0" i="0">
                  <a:latin typeface="Cambria Math" panose="02040503050406030204" pitchFamily="18" charset="0"/>
                  <a:ea typeface="ＭＳ 明朝" panose="02020609040205080304" pitchFamily="17" charset="-128"/>
                </a:rPr>
                <a:t>" ( ri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 ti × f × A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"1</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360</a:t>
              </a:r>
              <a:r>
                <a:rPr kumimoji="1" lang="en-US" altLang="ja-JP" sz="1100" b="0" i="0">
                  <a:latin typeface="Cambria Math" panose="02040503050406030204" pitchFamily="18" charset="0"/>
                  <a:ea typeface="ＭＳ 明朝" panose="02020609040205080304" pitchFamily="17" charset="-128"/>
                </a:rPr>
                <a:t>" </a:t>
              </a:r>
              <a:endParaRPr kumimoji="1" lang="en-US" altLang="ja-JP"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215349</xdr:colOff>
      <xdr:row>113</xdr:row>
      <xdr:rowOff>124239</xdr:rowOff>
    </xdr:from>
    <xdr:ext cx="1199046" cy="183384"/>
    <xdr:sp macro="" textlink="">
      <xdr:nvSpPr>
        <xdr:cNvPr id="7" name="テキスト ボックス 6"/>
        <xdr:cNvSpPr txBox="1"/>
      </xdr:nvSpPr>
      <xdr:spPr>
        <a:xfrm>
          <a:off x="927653" y="13028543"/>
          <a:ext cx="1199046"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b="0">
              <a:latin typeface="ＭＳ 明朝" panose="02020609040205080304" pitchFamily="17" charset="-128"/>
              <a:ea typeface="ＭＳ 明朝" panose="02020609040205080304" pitchFamily="17" charset="-128"/>
            </a:rPr>
            <a:t>Ｖ２＝ ｖ２ </a:t>
          </a:r>
          <a:r>
            <a:rPr kumimoji="1" lang="en-US" altLang="ja-JP" sz="1100" b="0">
              <a:latin typeface="ＭＳ 明朝" panose="02020609040205080304" pitchFamily="17" charset="-128"/>
              <a:ea typeface="ＭＳ 明朝" panose="02020609040205080304" pitchFamily="17" charset="-128"/>
            </a:rPr>
            <a:t>× </a:t>
          </a:r>
          <a:r>
            <a:rPr kumimoji="1" lang="ja-JP" altLang="en-US" sz="1100" b="0">
              <a:latin typeface="ＭＳ 明朝" panose="02020609040205080304" pitchFamily="17" charset="-128"/>
              <a:ea typeface="ＭＳ 明朝" panose="02020609040205080304" pitchFamily="17" charset="-128"/>
            </a:rPr>
            <a:t>Ａ</a:t>
          </a:r>
          <a:endParaRPr kumimoji="1" lang="en-US" altLang="ja-JP" sz="1100" b="0">
            <a:latin typeface="ＭＳ 明朝" panose="02020609040205080304" pitchFamily="17" charset="-128"/>
            <a:ea typeface="ＭＳ 明朝" panose="02020609040205080304" pitchFamily="17" charset="-128"/>
          </a:endParaRPr>
        </a:p>
      </xdr:txBody>
    </xdr:sp>
    <xdr:clientData/>
  </xdr:oneCellAnchor>
  <xdr:oneCellAnchor>
    <xdr:from>
      <xdr:col>2</xdr:col>
      <xdr:colOff>290306</xdr:colOff>
      <xdr:row>216</xdr:row>
      <xdr:rowOff>65846</xdr:rowOff>
    </xdr:from>
    <xdr:ext cx="996491" cy="289375"/>
    <mc:AlternateContent xmlns:mc="http://schemas.openxmlformats.org/markup-compatibility/2006" xmlns:a14="http://schemas.microsoft.com/office/drawing/2010/main">
      <mc:Choice Requires="a14">
        <xdr:sp macro="" textlink="">
          <xdr:nvSpPr>
            <xdr:cNvPr id="8" name="テキスト ボックス 7"/>
            <xdr:cNvSpPr txBox="1"/>
          </xdr:nvSpPr>
          <xdr:spPr>
            <a:xfrm>
              <a:off x="995156" y="38165846"/>
              <a:ext cx="996491" cy="289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ri</m:t>
                    </m:r>
                    <m:r>
                      <m:rPr>
                        <m:nor/>
                      </m:rPr>
                      <a:rPr kumimoji="1" lang="en-US" altLang="ja-JP" sz="1100" b="0" i="0">
                        <a:latin typeface="ＭＳ 明朝" panose="02020609040205080304" pitchFamily="17" charset="-128"/>
                        <a:ea typeface="ＭＳ 明朝" panose="02020609040205080304" pitchFamily="17" charset="-128"/>
                      </a:rPr>
                      <m:t> </m:t>
                    </m:r>
                    <m:r>
                      <a:rPr kumimoji="1" lang="en-US" altLang="ja-JP" sz="1100" b="0" i="1">
                        <a:latin typeface="Cambria Math" panose="02040503050406030204" pitchFamily="18" charset="0"/>
                      </a:rPr>
                      <m:t>= </m:t>
                    </m:r>
                    <m:f>
                      <m:fPr>
                        <m:ctrlPr>
                          <a:rPr kumimoji="1" lang="en-US" altLang="ja-JP" sz="1100" b="0" i="1">
                            <a:latin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b</m:t>
                        </m:r>
                      </m:den>
                    </m:f>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8" name="テキスト ボックス 7"/>
            <xdr:cNvSpPr txBox="1"/>
          </xdr:nvSpPr>
          <xdr:spPr>
            <a:xfrm>
              <a:off x="995156" y="38165846"/>
              <a:ext cx="996491" cy="289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"ri "</a:t>
              </a:r>
              <a:r>
                <a:rPr kumimoji="1" lang="en-US" altLang="ja-JP" sz="1100" b="0" i="0">
                  <a:latin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 b</a:t>
              </a:r>
              <a:r>
                <a:rPr kumimoji="1" lang="en-US" altLang="ja-JP" sz="1100" b="0" i="0">
                  <a:latin typeface="Cambria Math" panose="02040503050406030204" pitchFamily="18" charset="0"/>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91110</xdr:colOff>
      <xdr:row>220</xdr:row>
      <xdr:rowOff>57978</xdr:rowOff>
    </xdr:from>
    <xdr:ext cx="3574312" cy="318805"/>
    <mc:AlternateContent xmlns:mc="http://schemas.openxmlformats.org/markup-compatibility/2006" xmlns:a14="http://schemas.microsoft.com/office/drawing/2010/main">
      <mc:Choice Requires="a14">
        <xdr:sp macro="" textlink="">
          <xdr:nvSpPr>
            <xdr:cNvPr id="9" name="テキスト ボックス 8"/>
            <xdr:cNvSpPr txBox="1"/>
          </xdr:nvSpPr>
          <xdr:spPr>
            <a:xfrm>
              <a:off x="803414" y="29088521"/>
              <a:ext cx="3574312" cy="318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V</m:t>
                    </m:r>
                    <m:r>
                      <m:rPr>
                        <m:nor/>
                      </m:rPr>
                      <a:rPr kumimoji="1" lang="en-US" altLang="ja-JP" sz="1100" b="0" i="0">
                        <a:latin typeface="ＭＳ 明朝" panose="02020609040205080304" pitchFamily="17" charset="-128"/>
                        <a:ea typeface="ＭＳ 明朝" panose="02020609040205080304" pitchFamily="17" charset="-128"/>
                      </a:rPr>
                      <m:t>1 </m:t>
                    </m:r>
                    <m:r>
                      <a:rPr kumimoji="1" lang="en-US" altLang="ja-JP" sz="1100" b="0" i="1">
                        <a:solidFill>
                          <a:schemeClr val="tx1"/>
                        </a:solidFill>
                        <a:effectLst/>
                        <a:latin typeface="Cambria Math" panose="02040503050406030204" pitchFamily="18" charset="0"/>
                        <a:ea typeface="+mn-ea"/>
                        <a:cs typeface="+mn-cs"/>
                      </a:rPr>
                      <m:t>=</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ti</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f</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1</m:t>
                        </m:r>
                      </m:num>
                      <m:den>
                        <m:r>
                          <m:rPr>
                            <m:nor/>
                          </m:rPr>
                          <a:rPr kumimoji="1" lang="en-US" altLang="ja-JP" sz="1100" b="0" i="0">
                            <a:latin typeface="ＭＳ 明朝" panose="02020609040205080304" pitchFamily="17" charset="-128"/>
                            <a:ea typeface="ＭＳ 明朝" panose="02020609040205080304" pitchFamily="17" charset="-128"/>
                          </a:rPr>
                          <m:t>360</m:t>
                        </m:r>
                      </m:den>
                    </m:f>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9" name="テキスト ボックス 8"/>
            <xdr:cNvSpPr txBox="1"/>
          </xdr:nvSpPr>
          <xdr:spPr>
            <a:xfrm>
              <a:off x="803414" y="29088521"/>
              <a:ext cx="3574312" cy="318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"V1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latin typeface="Cambria Math" panose="02040503050406030204" pitchFamily="18" charset="0"/>
                  <a:ea typeface="ＭＳ 明朝" panose="02020609040205080304" pitchFamily="17" charset="-128"/>
                </a:rPr>
                <a:t>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ti × f × A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"1</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360</a:t>
              </a:r>
              <a:r>
                <a:rPr kumimoji="1" lang="en-US" altLang="ja-JP" sz="1100" b="0" i="0">
                  <a:latin typeface="Cambria Math" panose="02040503050406030204" pitchFamily="18" charset="0"/>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115957</xdr:colOff>
      <xdr:row>222</xdr:row>
      <xdr:rowOff>99391</xdr:rowOff>
    </xdr:from>
    <xdr:ext cx="2351733" cy="290144"/>
    <mc:AlternateContent xmlns:mc="http://schemas.openxmlformats.org/markup-compatibility/2006" xmlns:a14="http://schemas.microsoft.com/office/drawing/2010/main">
      <mc:Choice Requires="a14">
        <xdr:sp macro="" textlink="">
          <xdr:nvSpPr>
            <xdr:cNvPr id="10" name="テキスト ボックス 9"/>
            <xdr:cNvSpPr txBox="1"/>
          </xdr:nvSpPr>
          <xdr:spPr>
            <a:xfrm>
              <a:off x="828261" y="29494369"/>
              <a:ext cx="2351733" cy="290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y</m:t>
                    </m:r>
                    <m:r>
                      <m:rPr>
                        <m:nor/>
                      </m:rPr>
                      <a:rPr kumimoji="1" lang="en-US" altLang="ja-JP" sz="1100" b="0" i="0">
                        <a:latin typeface="ＭＳ 明朝" panose="02020609040205080304" pitchFamily="17" charset="-128"/>
                        <a:ea typeface="ＭＳ 明朝" panose="02020609040205080304" pitchFamily="17" charset="-128"/>
                      </a:rPr>
                      <m:t> </m:t>
                    </m:r>
                    <m:r>
                      <a:rPr kumimoji="1" lang="en-US" altLang="ja-JP" sz="1100" b="0" i="1">
                        <a:solidFill>
                          <a:schemeClr val="tx1"/>
                        </a:solidFill>
                        <a:effectLst/>
                        <a:latin typeface="Cambria Math" panose="02040503050406030204" pitchFamily="18" charset="0"/>
                        <a:ea typeface="+mn-ea"/>
                        <a:cs typeface="+mn-cs"/>
                      </a:rPr>
                      <m:t>=</m:t>
                    </m:r>
                    <m:r>
                      <m:rPr>
                        <m:nor/>
                      </m:rPr>
                      <a:rPr kumimoji="1" lang="en-US" altLang="ja-JP" sz="1100" b="0" i="0">
                        <a:latin typeface="ＭＳ 明朝" panose="02020609040205080304" pitchFamily="17" charset="-128"/>
                        <a:ea typeface="ＭＳ 明朝" panose="02020609040205080304" pitchFamily="17" charset="-128"/>
                      </a:rPr>
                      <m:t> (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ti</m:t>
                    </m:r>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10" name="テキスト ボックス 9"/>
            <xdr:cNvSpPr txBox="1"/>
          </xdr:nvSpPr>
          <xdr:spPr>
            <a:xfrm>
              <a:off x="828261" y="29494369"/>
              <a:ext cx="2351733" cy="290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"y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latin typeface="Cambria Math" panose="02040503050406030204" pitchFamily="18" charset="0"/>
                  <a:ea typeface="ＭＳ 明朝" panose="02020609040205080304" pitchFamily="17" charset="-128"/>
                </a:rPr>
                <a:t>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 )× ti</a:t>
              </a:r>
              <a:r>
                <a:rPr kumimoji="1" lang="ja-JP" altLang="en-US" sz="1100" b="0" i="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66261</xdr:colOff>
      <xdr:row>226</xdr:row>
      <xdr:rowOff>99392</xdr:rowOff>
    </xdr:from>
    <xdr:ext cx="3170547" cy="378950"/>
    <mc:AlternateContent xmlns:mc="http://schemas.openxmlformats.org/markup-compatibility/2006" xmlns:a14="http://schemas.microsoft.com/office/drawing/2010/main">
      <mc:Choice Requires="a14">
        <xdr:sp macro="" textlink="">
          <xdr:nvSpPr>
            <xdr:cNvPr id="11" name="テキスト ボックス 10"/>
            <xdr:cNvSpPr txBox="1"/>
          </xdr:nvSpPr>
          <xdr:spPr>
            <a:xfrm>
              <a:off x="778565" y="30223240"/>
              <a:ext cx="3170547" cy="378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kumimoji="1" lang="en-US" altLang="ja-JP" sz="1100" i="1">
                            <a:latin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dy</m:t>
                        </m:r>
                      </m:num>
                      <m:den>
                        <m:r>
                          <m:rPr>
                            <m:nor/>
                          </m:rPr>
                          <a:rPr kumimoji="1" lang="en-US" altLang="ja-JP" sz="1100" b="0" i="0">
                            <a:latin typeface="ＭＳ 明朝" panose="02020609040205080304" pitchFamily="17" charset="-128"/>
                            <a:ea typeface="ＭＳ 明朝" panose="02020609040205080304" pitchFamily="17" charset="-128"/>
                          </a:rPr>
                          <m:t>dti</m:t>
                        </m:r>
                      </m:den>
                    </m:f>
                    <m:r>
                      <a:rPr kumimoji="1" lang="en-US" altLang="ja-JP" sz="1100" b="0" i="1">
                        <a:latin typeface="Cambria Math" panose="02040503050406030204" pitchFamily="18" charset="0"/>
                      </a:rPr>
                      <m:t> </m:t>
                    </m:r>
                    <m:r>
                      <a:rPr kumimoji="1" lang="en-US" altLang="ja-JP" sz="110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 </m:t>
                    </m:r>
                    <m:f>
                      <m:fPr>
                        <m:ctrlPr>
                          <a:rPr kumimoji="1" lang="en-US" altLang="ja-JP" sz="110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d>
                          <m:dPr>
                            <m:ctrlPr>
                              <a:rPr kumimoji="1" lang="en-US" altLang="ja-JP" sz="1100" b="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b</m:t>
                            </m:r>
                            <m:r>
                              <m:rPr>
                                <m:nor/>
                              </m:rPr>
                              <a:rPr kumimoji="1" lang="en-US" altLang="ja-JP" sz="1100" b="0" i="0">
                                <a:latin typeface="ＭＳ 明朝" panose="02020609040205080304" pitchFamily="17" charset="-128"/>
                                <a:ea typeface="ＭＳ 明朝" panose="02020609040205080304" pitchFamily="17" charset="-128"/>
                              </a:rPr>
                              <m:t> </m:t>
                            </m:r>
                          </m:e>
                        </m:d>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n</m:t>
                        </m:r>
                        <m:r>
                          <m:rPr>
                            <m:nor/>
                          </m:rPr>
                          <a:rPr kumimoji="1" lang="en-US" altLang="ja-JP" sz="1100" b="0" i="0">
                            <a:latin typeface="ＭＳ 明朝" panose="02020609040205080304" pitchFamily="17" charset="-128"/>
                            <a:ea typeface="ＭＳ 明朝" panose="02020609040205080304" pitchFamily="17" charset="-128"/>
                          </a:rPr>
                          <m:t> ×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ti</m:t>
                            </m:r>
                          </m:e>
                          <m:sup>
                            <m:r>
                              <m:rPr>
                                <m:nor/>
                              </m:rPr>
                              <a:rPr kumimoji="1" lang="en-US" altLang="ja-JP" sz="1100" b="0" i="0">
                                <a:latin typeface="ＭＳ 明朝" panose="02020609040205080304" pitchFamily="17" charset="-128"/>
                                <a:ea typeface="ＭＳ 明朝" panose="02020609040205080304" pitchFamily="17" charset="-128"/>
                              </a:rPr>
                              <m:t>n</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m:t>
                        </m:r>
                      </m:num>
                      <m:den>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sSup>
                              <m:sSupPr>
                                <m:ctrlPr>
                                  <a:rPr kumimoji="1" lang="en-US" altLang="ja-JP" sz="1100" b="0" i="1">
                                    <a:solidFill>
                                      <a:schemeClr val="tx1"/>
                                    </a:solidFill>
                                    <a:effectLst/>
                                    <a:latin typeface="Cambria Math" panose="02040503050406030204" pitchFamily="18" charset="0"/>
                                    <a:ea typeface="+mn-ea"/>
                                    <a:cs typeface="+mn-cs"/>
                                  </a:rPr>
                                </m:ctrlPr>
                              </m:sSupPr>
                              <m:e>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ti</m:t>
                                </m:r>
                              </m:e>
                              <m:sup>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n</m:t>
                                </m:r>
                              </m:sup>
                            </m:sSup>
                            <m:r>
                              <a:rPr kumimoji="1" lang="en-US" altLang="ja-JP" sz="1100" b="0" i="1">
                                <a:solidFill>
                                  <a:schemeClr val="tx1"/>
                                </a:solidFill>
                                <a:effectLst/>
                                <a:latin typeface="Cambria Math" panose="02040503050406030204" pitchFamily="18" charset="0"/>
                                <a:ea typeface="+mn-ea"/>
                                <a:cs typeface="+mn-cs"/>
                              </a:rPr>
                              <m:t> </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b</m:t>
                            </m:r>
                            <m:r>
                              <m:rPr>
                                <m:nor/>
                              </m:rP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m:t> )</m:t>
                            </m:r>
                          </m:e>
                          <m:sup>
                            <m:r>
                              <m:rPr>
                                <m:nor/>
                              </m:rPr>
                              <a:rPr kumimoji="1" lang="en-US" altLang="ja-JP" sz="1100" b="0" i="0">
                                <a:latin typeface="ＭＳ 明朝" panose="02020609040205080304" pitchFamily="17" charset="-128"/>
                                <a:ea typeface="ＭＳ 明朝" panose="02020609040205080304" pitchFamily="17" charset="-128"/>
                              </a:rPr>
                              <m:t>2</m:t>
                            </m:r>
                          </m:sup>
                        </m:sSup>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rc</m:t>
                        </m:r>
                      </m:num>
                      <m:den>
                        <m:r>
                          <m:rPr>
                            <m:nor/>
                          </m:rPr>
                          <a:rPr kumimoji="1" lang="en-US" altLang="ja-JP" sz="1100" b="0" i="0">
                            <a:latin typeface="ＭＳ 明朝" panose="02020609040205080304" pitchFamily="17" charset="-128"/>
                            <a:ea typeface="ＭＳ 明朝" panose="02020609040205080304" pitchFamily="17" charset="-128"/>
                          </a:rPr>
                          <m:t>2</m:t>
                        </m:r>
                      </m:den>
                    </m:f>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Fc</m:t>
                    </m:r>
                  </m:oMath>
                </m:oMathPara>
              </a14:m>
              <a:endParaRPr kumimoji="1" lang="en-US" altLang="ja-JP" sz="1100" b="0">
                <a:latin typeface="ＭＳ 明朝" panose="02020609040205080304" pitchFamily="17" charset="-128"/>
                <a:ea typeface="ＭＳ 明朝" panose="02020609040205080304" pitchFamily="17" charset="-128"/>
              </a:endParaRPr>
            </a:p>
          </xdr:txBody>
        </xdr:sp>
      </mc:Choice>
      <mc:Fallback xmlns="">
        <xdr:sp macro="" textlink="">
          <xdr:nvSpPr>
            <xdr:cNvPr id="11" name="テキスト ボックス 10"/>
            <xdr:cNvSpPr txBox="1"/>
          </xdr:nvSpPr>
          <xdr:spPr>
            <a:xfrm>
              <a:off x="778565" y="30223240"/>
              <a:ext cx="3170547" cy="378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ＭＳ 明朝" panose="02020609040205080304" pitchFamily="17" charset="-128"/>
                  <a:ea typeface="ＭＳ 明朝" panose="02020609040205080304" pitchFamily="17" charset="-128"/>
                </a:rPr>
                <a:t>"dy</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dti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rPr>
                <a:t>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a × {</a:t>
              </a:r>
              <a:r>
                <a:rPr kumimoji="1" lang="en-US" altLang="ja-JP" sz="1100" b="0" i="0">
                  <a:latin typeface="Cambria Math" panose="02040503050406030204" pitchFamily="18" charset="0"/>
                  <a:ea typeface="Cambria Math" panose="02040503050406030204" pitchFamily="18" charset="0"/>
                </a:rPr>
                <a:t>" (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b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n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ti</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n</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ti</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n</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ＭＳ 明朝" panose="02020609040205080304" pitchFamily="17" charset="-128"/>
                  <a:ea typeface="ＭＳ 明朝" panose="02020609040205080304" pitchFamily="17" charset="-128"/>
                  <a:cs typeface="+mn-cs"/>
                </a:rPr>
                <a:t>+ b )</a:t>
              </a:r>
              <a:r>
                <a:rPr kumimoji="1" lang="en-US" altLang="ja-JP" sz="1100" b="0" i="0">
                  <a:solidFill>
                    <a:schemeClr val="tx1"/>
                  </a:solidFill>
                  <a:effectLst/>
                  <a:latin typeface="Cambria Math" panose="02040503050406030204" pitchFamily="18" charset="0"/>
                  <a:ea typeface="ＭＳ 明朝" panose="02020609040205080304" pitchFamily="17" charset="-128"/>
                  <a:cs typeface="+mn-cs"/>
                </a:rPr>
                <a:t>"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"rc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Fc</a:t>
              </a:r>
              <a:r>
                <a:rPr kumimoji="1" lang="ja-JP" altLang="en-US" sz="1100" b="0" i="0">
                  <a:latin typeface="ＭＳ 明朝" panose="02020609040205080304" pitchFamily="17" charset="-128"/>
                  <a:ea typeface="ＭＳ 明朝" panose="02020609040205080304" pitchFamily="17" charset="-128"/>
                </a:rPr>
                <a:t>"</a:t>
              </a:r>
              <a:endParaRPr kumimoji="1" lang="en-US" altLang="ja-JP" sz="1100" b="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1</xdr:col>
      <xdr:colOff>339587</xdr:colOff>
      <xdr:row>230</xdr:row>
      <xdr:rowOff>115957</xdr:rowOff>
    </xdr:from>
    <xdr:ext cx="5506700" cy="276422"/>
    <mc:AlternateContent xmlns:mc="http://schemas.openxmlformats.org/markup-compatibility/2006" xmlns:a14="http://schemas.microsoft.com/office/drawing/2010/main">
      <mc:Choice Requires="a14">
        <xdr:sp macro="" textlink="">
          <xdr:nvSpPr>
            <xdr:cNvPr id="12" name="テキスト ボックス 11"/>
            <xdr:cNvSpPr txBox="1"/>
          </xdr:nvSpPr>
          <xdr:spPr>
            <a:xfrm>
              <a:off x="692012" y="41368732"/>
              <a:ext cx="5506700"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m:t>
                        </m:r>
                      </m:e>
                    </m:d>
                    <m:sSup>
                      <m:sSupPr>
                        <m:ctrlPr>
                          <a:rPr kumimoji="1" lang="en-US" altLang="ja-JP" sz="1050" b="0" i="1">
                            <a:latin typeface="Cambria Math" panose="02040503050406030204" pitchFamily="18" charset="0"/>
                            <a:ea typeface="Cambria Math" panose="02040503050406030204" pitchFamily="18" charset="0"/>
                          </a:rPr>
                        </m:ctrlPr>
                      </m:sSupPr>
                      <m:e>
                        <m:r>
                          <m:rPr>
                            <m:nor/>
                          </m:rPr>
                          <a:rPr kumimoji="1" lang="en-US" altLang="ja-JP" sz="1050" b="0" i="0">
                            <a:latin typeface="ＭＳ 明朝" panose="02020609040205080304" pitchFamily="17" charset="-128"/>
                            <a:ea typeface="ＭＳ 明朝" panose="02020609040205080304" pitchFamily="17" charset="-128"/>
                          </a:rPr>
                          <m:t>X</m:t>
                        </m:r>
                      </m:e>
                      <m:sup>
                        <m:r>
                          <m:rPr>
                            <m:nor/>
                          </m:rPr>
                          <a:rPr kumimoji="1" lang="en-US" altLang="ja-JP" sz="1050" b="0" i="0">
                            <a:latin typeface="ＭＳ 明朝" panose="02020609040205080304" pitchFamily="17" charset="-128"/>
                            <a:ea typeface="ＭＳ 明朝" panose="02020609040205080304" pitchFamily="17" charset="-128"/>
                          </a:rPr>
                          <m:t>2</m:t>
                        </m:r>
                      </m:sup>
                    </m:sSup>
                    <m:r>
                      <m:rPr>
                        <m:nor/>
                      </m:rPr>
                      <a:rPr kumimoji="1" lang="en-US" altLang="ja-JP" sz="1050" b="0" i="0">
                        <a:latin typeface="ＭＳ 明朝" panose="02020609040205080304" pitchFamily="17" charset="-128"/>
                        <a:ea typeface="ＭＳ 明朝" panose="02020609040205080304" pitchFamily="17" charset="-128"/>
                      </a:rPr>
                      <m:t>+</m:t>
                    </m:r>
                    <m:d>
                      <m:dPr>
                        <m:begChr m:val="["/>
                        <m:endChr m:val="]"/>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2</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− 2</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a</m:t>
                        </m:r>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n</m:t>
                            </m:r>
                            <m:r>
                              <m:rPr>
                                <m:nor/>
                              </m:rPr>
                              <a:rPr kumimoji="1" lang="en-US" altLang="ja-JP" sz="1050" b="0" i="0">
                                <a:latin typeface="ＭＳ 明朝" panose="02020609040205080304" pitchFamily="17" charset="-128"/>
                                <a:ea typeface="ＭＳ 明朝" panose="02020609040205080304" pitchFamily="17" charset="-128"/>
                              </a:rPr>
                              <m:t>−1</m:t>
                            </m:r>
                          </m:e>
                        </m:d>
                        <m:r>
                          <m:rPr>
                            <m:nor/>
                          </m:rPr>
                          <a:rPr kumimoji="1" lang="en-US" altLang="ja-JP" sz="1050" b="0" i="0">
                            <a:latin typeface="ＭＳ 明朝" panose="02020609040205080304" pitchFamily="17" charset="-128"/>
                            <a:ea typeface="ＭＳ 明朝" panose="02020609040205080304" pitchFamily="17" charset="-128"/>
                          </a:rPr>
                          <m:t> </m:t>
                        </m:r>
                      </m:e>
                    </m:d>
                    <m:r>
                      <m:rPr>
                        <m:nor/>
                      </m:rPr>
                      <a:rPr kumimoji="1" lang="en-US" altLang="ja-JP" sz="1050" b="0" i="0">
                        <a:latin typeface="ＭＳ 明朝" panose="02020609040205080304" pitchFamily="17" charset="-128"/>
                        <a:ea typeface="ＭＳ 明朝" panose="02020609040205080304" pitchFamily="17" charset="-128"/>
                      </a:rPr>
                      <m:t>X</m:t>
                    </m:r>
                    <m:r>
                      <m:rPr>
                        <m:nor/>
                      </m:rPr>
                      <a:rPr kumimoji="1" lang="en-US" altLang="ja-JP" sz="1050" b="0" i="0">
                        <a:latin typeface="ＭＳ 明朝" panose="02020609040205080304" pitchFamily="17" charset="-128"/>
                        <a:ea typeface="ＭＳ 明朝" panose="02020609040205080304" pitchFamily="17" charset="-128"/>
                      </a:rPr>
                      <m:t>+</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m:t>
                    </m:r>
                    <m:d>
                      <m:dPr>
                        <m:ctrlPr>
                          <a:rPr kumimoji="1" lang="en-US" altLang="ja-JP" sz="1050" b="0" i="1">
                            <a:latin typeface="Cambria Math" panose="02040503050406030204" pitchFamily="18" charset="0"/>
                            <a:ea typeface="Cambria Math" panose="02040503050406030204" pitchFamily="18" charset="0"/>
                          </a:rPr>
                        </m:ctrlPr>
                      </m:dPr>
                      <m:e>
                        <m:r>
                          <m:rPr>
                            <m:nor/>
                          </m:rPr>
                          <a:rPr kumimoji="1" lang="en-US" altLang="ja-JP" sz="1050" b="0" i="0">
                            <a:latin typeface="ＭＳ 明朝" panose="02020609040205080304" pitchFamily="17" charset="-128"/>
                            <a:ea typeface="ＭＳ 明朝" panose="02020609040205080304" pitchFamily="17" charset="-128"/>
                          </a:rPr>
                          <m:t> </m:t>
                        </m:r>
                        <m:f>
                          <m:fPr>
                            <m:ctrlPr>
                              <a:rPr kumimoji="1" lang="en-US" altLang="ja-JP" sz="1050" b="0" i="1">
                                <a:latin typeface="Cambria Math" panose="02040503050406030204" pitchFamily="18" charset="0"/>
                                <a:ea typeface="Cambria Math" panose="02040503050406030204" pitchFamily="18" charset="0"/>
                              </a:rPr>
                            </m:ctrlPr>
                          </m:fPr>
                          <m:num>
                            <m:r>
                              <m:rPr>
                                <m:nor/>
                              </m:rPr>
                              <a:rPr kumimoji="1" lang="en-US" altLang="ja-JP" sz="1050" b="0" i="0">
                                <a:latin typeface="ＭＳ 明朝" panose="02020609040205080304" pitchFamily="17" charset="-128"/>
                                <a:ea typeface="ＭＳ 明朝" panose="02020609040205080304" pitchFamily="17" charset="-128"/>
                              </a:rPr>
                              <m:t>rc</m:t>
                            </m:r>
                          </m:num>
                          <m:den>
                            <m:r>
                              <m:rPr>
                                <m:nor/>
                              </m:rPr>
                              <a:rPr kumimoji="1" lang="en-US" altLang="ja-JP" sz="1050" b="0" i="0">
                                <a:latin typeface="ＭＳ 明朝" panose="02020609040205080304" pitchFamily="17" charset="-128"/>
                                <a:ea typeface="ＭＳ 明朝" panose="02020609040205080304" pitchFamily="17" charset="-128"/>
                              </a:rPr>
                              <m:t>2</m:t>
                            </m:r>
                          </m:den>
                        </m:f>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Fc</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b</m:t>
                        </m:r>
                        <m:r>
                          <m:rPr>
                            <m:nor/>
                          </m:rPr>
                          <a:rPr kumimoji="1" lang="en-US" altLang="ja-JP" sz="1050" b="0" i="0">
                            <a:latin typeface="ＭＳ 明朝" panose="02020609040205080304" pitchFamily="17" charset="-128"/>
                            <a:ea typeface="ＭＳ 明朝" panose="02020609040205080304" pitchFamily="17" charset="-128"/>
                          </a:rPr>
                          <m:t> − </m:t>
                        </m:r>
                        <m:r>
                          <m:rPr>
                            <m:nor/>
                          </m:rPr>
                          <a:rPr kumimoji="1" lang="en-US" altLang="ja-JP" sz="1050" b="0" i="0">
                            <a:latin typeface="ＭＳ 明朝" panose="02020609040205080304" pitchFamily="17" charset="-128"/>
                            <a:ea typeface="ＭＳ 明朝" panose="02020609040205080304" pitchFamily="17" charset="-128"/>
                          </a:rPr>
                          <m:t>a</m:t>
                        </m:r>
                        <m:r>
                          <m:rPr>
                            <m:nor/>
                          </m:rPr>
                          <a:rPr kumimoji="1" lang="en-US" altLang="ja-JP" sz="1050" b="0" i="0">
                            <a:latin typeface="ＭＳ 明朝" panose="02020609040205080304" pitchFamily="17" charset="-128"/>
                            <a:ea typeface="ＭＳ 明朝" panose="02020609040205080304" pitchFamily="17" charset="-128"/>
                          </a:rPr>
                          <m:t> </m:t>
                        </m:r>
                      </m:e>
                    </m:d>
                    <m:r>
                      <m:rPr>
                        <m:nor/>
                      </m:rPr>
                      <a:rPr kumimoji="1" lang="en-US" altLang="ja-JP" sz="1050" b="0" i="0">
                        <a:latin typeface="ＭＳ 明朝" panose="02020609040205080304" pitchFamily="17" charset="-128"/>
                        <a:ea typeface="ＭＳ 明朝" panose="02020609040205080304" pitchFamily="17" charset="-128"/>
                      </a:rPr>
                      <m:t>= 0</m:t>
                    </m:r>
                  </m:oMath>
                </m:oMathPara>
              </a14:m>
              <a:endParaRPr kumimoji="1" lang="en-US" altLang="ja-JP" sz="1050" b="0">
                <a:latin typeface="ＭＳ 明朝" panose="02020609040205080304" pitchFamily="17" charset="-128"/>
                <a:ea typeface="ＭＳ 明朝" panose="02020609040205080304" pitchFamily="17" charset="-128"/>
              </a:endParaRPr>
            </a:p>
          </xdr:txBody>
        </xdr:sp>
      </mc:Choice>
      <mc:Fallback xmlns="">
        <xdr:sp macro="" textlink="">
          <xdr:nvSpPr>
            <xdr:cNvPr id="12" name="テキスト ボックス 11"/>
            <xdr:cNvSpPr txBox="1"/>
          </xdr:nvSpPr>
          <xdr:spPr>
            <a:xfrm>
              <a:off x="692012" y="41368732"/>
              <a:ext cx="5506700"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Fc </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"X</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2b − 2b × Fc + a</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n−1</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ＭＳ 明朝" panose="02020609040205080304" pitchFamily="17" charset="-128"/>
                </a:rPr>
                <a:t>" ]"X+b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  "</a:t>
              </a:r>
              <a:r>
                <a:rPr kumimoji="1" lang="en-US" altLang="ja-JP" sz="1050" b="0" i="0">
                  <a:latin typeface="ＭＳ 明朝" panose="02020609040205080304" pitchFamily="17" charset="-128"/>
                  <a:ea typeface="ＭＳ 明朝" panose="02020609040205080304" pitchFamily="17" charset="-128"/>
                </a:rPr>
                <a:t>rc</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Cambria Math" panose="02040503050406030204" pitchFamily="18" charset="0"/>
                  <a:ea typeface="Cambria Math" panose="02040503050406030204" pitchFamily="18" charset="0"/>
                </a:rPr>
                <a:t>/"</a:t>
              </a:r>
              <a:r>
                <a:rPr kumimoji="1" lang="en-US" altLang="ja-JP" sz="1050" b="0" i="0">
                  <a:latin typeface="ＭＳ 明朝" panose="02020609040205080304" pitchFamily="17" charset="-128"/>
                  <a:ea typeface="ＭＳ 明朝" panose="02020609040205080304" pitchFamily="17" charset="-128"/>
                </a:rPr>
                <a:t>2</a:t>
              </a:r>
              <a:r>
                <a:rPr kumimoji="1" lang="en-US" altLang="ja-JP" sz="1050" b="0" i="0">
                  <a:latin typeface="Cambria Math" panose="02040503050406030204" pitchFamily="18" charset="0"/>
                  <a:ea typeface="ＭＳ 明朝" panose="02020609040205080304" pitchFamily="17" charset="-128"/>
                </a:rPr>
                <a:t>"  "</a:t>
              </a:r>
              <a:r>
                <a:rPr kumimoji="1" lang="en-US" altLang="ja-JP" sz="1050" b="0" i="0">
                  <a:latin typeface="ＭＳ 明朝" panose="02020609040205080304" pitchFamily="17" charset="-128"/>
                  <a:ea typeface="ＭＳ 明朝" panose="02020609040205080304" pitchFamily="17" charset="-128"/>
                </a:rPr>
                <a:t> × b + Fc × b − a </a:t>
              </a:r>
              <a:r>
                <a:rPr kumimoji="1" lang="en-US" altLang="ja-JP" sz="1050" b="0" i="0">
                  <a:latin typeface="Cambria Math" panose="02040503050406030204" pitchFamily="18" charset="0"/>
                  <a:ea typeface="ＭＳ 明朝" panose="02020609040205080304" pitchFamily="17" charset="-128"/>
                </a:rPr>
                <a:t>" )"= 0</a:t>
              </a:r>
              <a:r>
                <a:rPr kumimoji="1" lang="ja-JP" altLang="en-US" sz="1050" b="0" i="0">
                  <a:latin typeface="ＭＳ 明朝" panose="02020609040205080304" pitchFamily="17" charset="-128"/>
                  <a:ea typeface="ＭＳ 明朝" panose="02020609040205080304" pitchFamily="17" charset="-128"/>
                </a:rPr>
                <a:t>"</a:t>
              </a:r>
              <a:endParaRPr kumimoji="1" lang="en-US" altLang="ja-JP" sz="1050" b="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207065</xdr:colOff>
      <xdr:row>235</xdr:row>
      <xdr:rowOff>16565</xdr:rowOff>
    </xdr:from>
    <xdr:ext cx="3269869" cy="397416"/>
    <mc:AlternateContent xmlns:mc="http://schemas.openxmlformats.org/markup-compatibility/2006" xmlns:a14="http://schemas.microsoft.com/office/drawing/2010/main">
      <mc:Choice Requires="a14">
        <xdr:sp macro="" textlink="">
          <xdr:nvSpPr>
            <xdr:cNvPr id="13" name="テキスト ボックス 12"/>
            <xdr:cNvSpPr txBox="1"/>
          </xdr:nvSpPr>
          <xdr:spPr>
            <a:xfrm>
              <a:off x="919369" y="31813500"/>
              <a:ext cx="3269869" cy="397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en-US" altLang="ja-JP" sz="1100" b="0" i="0">
                        <a:latin typeface="ＭＳ 明朝" panose="02020609040205080304" pitchFamily="17" charset="-128"/>
                        <a:ea typeface="ＭＳ 明朝" panose="02020609040205080304" pitchFamily="17" charset="-128"/>
                      </a:rPr>
                      <m:t>X</m:t>
                    </m:r>
                    <m:r>
                      <m:rPr>
                        <m:nor/>
                      </m:rPr>
                      <a:rPr kumimoji="1" lang="en-US" altLang="ja-JP" sz="1100" b="0" i="0">
                        <a:latin typeface="ＭＳ 明朝" panose="02020609040205080304" pitchFamily="17" charset="-128"/>
                        <a:ea typeface="ＭＳ 明朝" panose="02020609040205080304" pitchFamily="17" charset="-128"/>
                      </a:rPr>
                      <m:t> </m:t>
                    </m:r>
                    <m:r>
                      <a:rPr kumimoji="1" lang="ja-JP" altLang="en-US" sz="1100" b="0" i="1">
                        <a:latin typeface="Cambria Math" panose="02040503050406030204" pitchFamily="18" charset="0"/>
                        <a:ea typeface="ＭＳ 明朝" panose="02020609040205080304" pitchFamily="17" charset="-128"/>
                      </a:rPr>
                      <m:t>＝</m:t>
                    </m:r>
                    <m:r>
                      <a:rPr kumimoji="1" lang="en-US" altLang="ja-JP" sz="1100" b="0" i="1">
                        <a:latin typeface="Cambria Math" panose="02040503050406030204" pitchFamily="18" charset="0"/>
                        <a:ea typeface="ＭＳ 明朝" panose="02020609040205080304" pitchFamily="17" charset="-128"/>
                      </a:rPr>
                      <m:t> </m:t>
                    </m:r>
                    <m:f>
                      <m:fPr>
                        <m:ctrlPr>
                          <a:rPr kumimoji="1" lang="en-US" altLang="ja-JP" sz="1100" b="0" i="1">
                            <a:latin typeface="Cambria Math" panose="02040503050406030204" pitchFamily="18" charset="0"/>
                            <a:ea typeface="Cambria Math" panose="02040503050406030204" pitchFamily="18" charset="0"/>
                          </a:rPr>
                        </m:ctrlPr>
                      </m:fPr>
                      <m:num>
                        <m:r>
                          <m:rPr>
                            <m:nor/>
                          </m:rPr>
                          <a:rPr kumimoji="1" lang="en-US" altLang="ja-JP" sz="1100" b="0" i="0">
                            <a:latin typeface="ＭＳ 明朝" panose="02020609040205080304" pitchFamily="17" charset="-128"/>
                            <a:ea typeface="ＭＳ 明朝" panose="02020609040205080304" pitchFamily="17" charset="-128"/>
                          </a:rPr>
                          <m:t>−</m:t>
                        </m:r>
                        <m:r>
                          <m:rPr>
                            <m:nor/>
                          </m:rPr>
                          <a:rPr kumimoji="1" lang="en-US" altLang="ja-JP" sz="1100" b="0" i="0">
                            <a:latin typeface="ＭＳ 明朝" panose="02020609040205080304" pitchFamily="17" charset="-128"/>
                            <a:ea typeface="ＭＳ 明朝" panose="02020609040205080304" pitchFamily="17" charset="-128"/>
                          </a:rPr>
                          <m:t>B</m:t>
                        </m:r>
                        <m:r>
                          <m:rPr>
                            <m:nor/>
                          </m:rPr>
                          <a:rPr kumimoji="1" lang="en-US" altLang="ja-JP" sz="1100" b="0" i="0">
                            <a:latin typeface="ＭＳ 明朝" panose="02020609040205080304" pitchFamily="17" charset="-128"/>
                            <a:ea typeface="ＭＳ 明朝" panose="02020609040205080304" pitchFamily="17" charset="-128"/>
                          </a:rPr>
                          <m:t> + </m:t>
                        </m:r>
                        <m:rad>
                          <m:radPr>
                            <m:degHide m:val="on"/>
                            <m:ctrlPr>
                              <a:rPr kumimoji="1" lang="en-US" altLang="ja-JP" sz="1100" b="0" i="1">
                                <a:latin typeface="Cambria Math" panose="02040503050406030204" pitchFamily="18" charset="0"/>
                                <a:ea typeface="Cambria Math" panose="02040503050406030204" pitchFamily="18" charset="0"/>
                              </a:rPr>
                            </m:ctrlPr>
                          </m:radPr>
                          <m:deg/>
                          <m:e>
                            <m:r>
                              <a:rPr kumimoji="1" lang="en-US" altLang="ja-JP" sz="1100" b="0" i="1">
                                <a:latin typeface="Cambria Math" panose="02040503050406030204" pitchFamily="18" charset="0"/>
                                <a:ea typeface="Cambria Math" panose="02040503050406030204" pitchFamily="18" charset="0"/>
                              </a:rPr>
                              <m:t> </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B</m:t>
                                </m:r>
                              </m:e>
                              <m:sup>
                                <m:r>
                                  <m:rPr>
                                    <m:nor/>
                                  </m:rPr>
                                  <a:rPr kumimoji="1" lang="en-US" altLang="ja-JP" sz="1100" b="0" i="0">
                                    <a:latin typeface="ＭＳ 明朝" panose="02020609040205080304" pitchFamily="17" charset="-128"/>
                                    <a:ea typeface="ＭＳ 明朝" panose="02020609040205080304" pitchFamily="17" charset="-128"/>
                                  </a:rPr>
                                  <m:t>2</m:t>
                                </m:r>
                              </m:sup>
                            </m:sSup>
                            <m:r>
                              <a:rPr kumimoji="1" lang="en-US" altLang="ja-JP" sz="1100" b="0" i="1">
                                <a:latin typeface="Cambria Math" panose="02040503050406030204" pitchFamily="18" charset="0"/>
                                <a:ea typeface="Cambria Math" panose="02040503050406030204" pitchFamily="18" charset="0"/>
                              </a:rPr>
                              <m:t> </m:t>
                            </m:r>
                            <m:r>
                              <m:rPr>
                                <m:nor/>
                              </m:rPr>
                              <a:rPr kumimoji="1" lang="en-US" altLang="ja-JP" sz="1100" b="0" i="0">
                                <a:latin typeface="ＭＳ 明朝" panose="02020609040205080304" pitchFamily="17" charset="-128"/>
                                <a:ea typeface="ＭＳ 明朝" panose="02020609040205080304" pitchFamily="17" charset="-128"/>
                              </a:rPr>
                              <m:t>− 4 × </m:t>
                            </m:r>
                            <m:r>
                              <m:rPr>
                                <m:nor/>
                              </m:rPr>
                              <a:rPr kumimoji="1" lang="en-US" altLang="ja-JP" sz="1100" b="0" i="0">
                                <a:latin typeface="ＭＳ 明朝" panose="02020609040205080304" pitchFamily="17" charset="-128"/>
                                <a:ea typeface="ＭＳ 明朝" panose="02020609040205080304" pitchFamily="17" charset="-128"/>
                              </a:rPr>
                              <m:t>A</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C</m:t>
                            </m:r>
                          </m:e>
                        </m:rad>
                      </m:num>
                      <m:den>
                        <m:r>
                          <m:rPr>
                            <m:nor/>
                          </m:rPr>
                          <a:rPr kumimoji="1" lang="en-US" altLang="ja-JP" sz="1100" b="0" i="0">
                            <a:latin typeface="ＭＳ 明朝" panose="02020609040205080304" pitchFamily="17" charset="-128"/>
                            <a:ea typeface="ＭＳ 明朝" panose="02020609040205080304" pitchFamily="17" charset="-128"/>
                          </a:rPr>
                          <m:t>2 × </m:t>
                        </m:r>
                        <m:r>
                          <m:rPr>
                            <m:nor/>
                          </m:rPr>
                          <a:rPr kumimoji="1" lang="en-US" altLang="ja-JP" sz="1100" b="0" i="0">
                            <a:latin typeface="ＭＳ 明朝" panose="02020609040205080304" pitchFamily="17" charset="-128"/>
                            <a:ea typeface="ＭＳ 明朝" panose="02020609040205080304" pitchFamily="17" charset="-128"/>
                          </a:rPr>
                          <m:t>A</m:t>
                        </m:r>
                      </m:den>
                    </m:f>
                    <m:r>
                      <a:rPr kumimoji="1" lang="ja-JP" altLang="en-US" sz="1100" b="0" i="1">
                        <a:latin typeface="Cambria Math" panose="02040503050406030204" pitchFamily="18" charset="0"/>
                        <a:ea typeface="Cambria Math" panose="02040503050406030204" pitchFamily="18" charset="0"/>
                      </a:rPr>
                      <m:t>　　　　</m:t>
                    </m:r>
                    <m:r>
                      <m:rPr>
                        <m:nor/>
                      </m:rPr>
                      <a:rPr kumimoji="1" lang="en-US" altLang="ja-JP" sz="1100" b="0" i="0">
                        <a:latin typeface="Cambria Math" panose="02040503050406030204" pitchFamily="18" charset="0"/>
                        <a:ea typeface="Cambria Math" panose="02040503050406030204" pitchFamily="18" charset="0"/>
                      </a:rPr>
                      <m:t>ti</m:t>
                    </m:r>
                    <m:r>
                      <a:rPr kumimoji="1" lang="ja-JP" altLang="en-US" sz="1100" b="0" i="1">
                        <a:latin typeface="Cambria Math" panose="02040503050406030204" pitchFamily="18" charset="0"/>
                        <a:ea typeface="Cambria Math" panose="02040503050406030204" pitchFamily="18" charset="0"/>
                      </a:rPr>
                      <m:t>　</m:t>
                    </m:r>
                    <m:r>
                      <m:rPr>
                        <m:nor/>
                      </m:rPr>
                      <a:rPr kumimoji="1" lang="en-US" altLang="ja-JP" sz="1100" b="0" i="0">
                        <a:latin typeface="Cambria Math" panose="02040503050406030204" pitchFamily="18" charset="0"/>
                        <a:ea typeface="Cambria Math" panose="02040503050406030204" pitchFamily="18" charset="0"/>
                      </a:rPr>
                      <m:t>=</m:t>
                    </m:r>
                    <m:r>
                      <a:rPr kumimoji="1" lang="ja-JP" altLang="en-US" sz="1100" b="0" i="1">
                        <a:latin typeface="Cambria Math" panose="02040503050406030204" pitchFamily="18" charset="0"/>
                        <a:ea typeface="Cambria Math" panose="02040503050406030204" pitchFamily="18" charset="0"/>
                      </a:rPr>
                      <m:t>　</m:t>
                    </m:r>
                    <m:rad>
                      <m:radPr>
                        <m:ctrlPr>
                          <a:rPr kumimoji="1" lang="en-US" altLang="ja-JP" sz="1100" b="0" i="1">
                            <a:latin typeface="Cambria Math" panose="02040503050406030204" pitchFamily="18" charset="0"/>
                            <a:ea typeface="Cambria Math" panose="02040503050406030204" pitchFamily="18" charset="0"/>
                          </a:rPr>
                        </m:ctrlPr>
                      </m:radPr>
                      <m:deg>
                        <m:r>
                          <m:rPr>
                            <m:nor/>
                            <m:brk m:alnAt="7"/>
                          </m:rPr>
                          <a:rPr kumimoji="1" lang="en-US" altLang="ja-JP" sz="1100" b="0" i="0">
                            <a:latin typeface="Cambria Math" panose="02040503050406030204" pitchFamily="18" charset="0"/>
                            <a:ea typeface="Cambria Math" panose="02040503050406030204" pitchFamily="18" charset="0"/>
                          </a:rPr>
                          <m:t>n</m:t>
                        </m:r>
                      </m:deg>
                      <m:e>
                        <m:r>
                          <m:rPr>
                            <m:nor/>
                          </m:rPr>
                          <a:rPr kumimoji="1" lang="en-US" altLang="ja-JP" sz="1100" b="0" i="0">
                            <a:latin typeface="Cambria Math" panose="02040503050406030204" pitchFamily="18" charset="0"/>
                            <a:ea typeface="Cambria Math" panose="02040503050406030204" pitchFamily="18" charset="0"/>
                          </a:rPr>
                          <m:t>X</m:t>
                        </m:r>
                      </m:e>
                    </m:rad>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13" name="テキスト ボックス 12"/>
            <xdr:cNvSpPr txBox="1"/>
          </xdr:nvSpPr>
          <xdr:spPr>
            <a:xfrm>
              <a:off x="919369" y="31813500"/>
              <a:ext cx="3269869" cy="397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ea typeface="ＭＳ 明朝" panose="02020609040205080304" pitchFamily="17" charset="-128"/>
                </a:rPr>
                <a:t>"X </a:t>
              </a:r>
              <a:r>
                <a:rPr kumimoji="1" lang="ja-JP" altLang="en-US" sz="1100" b="0" i="0">
                  <a:latin typeface="Cambria Math" panose="02040503050406030204" pitchFamily="18" charset="0"/>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−B + </a:t>
              </a:r>
              <a:r>
                <a:rPr kumimoji="1" lang="en-US" altLang="ja-JP" sz="1100" b="0" i="0">
                  <a:latin typeface="Cambria Math" panose="02040503050406030204" pitchFamily="18" charset="0"/>
                  <a:ea typeface="Cambria Math" panose="02040503050406030204" pitchFamily="18" charset="0"/>
                </a:rPr>
                <a:t>" √( "</a:t>
              </a:r>
              <a:r>
                <a:rPr kumimoji="1" lang="en-US" altLang="ja-JP" sz="1100" b="0" i="0">
                  <a:latin typeface="ＭＳ 明朝" panose="02020609040205080304" pitchFamily="17" charset="-128"/>
                  <a:ea typeface="ＭＳ 明朝" panose="02020609040205080304" pitchFamily="17" charset="-128"/>
                </a:rPr>
                <a:t>B</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− 4 × A × C</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ＭＳ 明朝" panose="02020609040205080304" pitchFamily="17" charset="-128"/>
                  <a:ea typeface="ＭＳ 明朝" panose="02020609040205080304" pitchFamily="17" charset="-128"/>
                </a:rPr>
                <a:t>2 × A</a:t>
              </a:r>
              <a:r>
                <a:rPr kumimoji="1" lang="en-US" altLang="ja-JP" sz="1100" b="0" i="0">
                  <a:latin typeface="Cambria Math" panose="02040503050406030204" pitchFamily="18" charset="0"/>
                  <a:ea typeface="ＭＳ 明朝" panose="02020609040205080304" pitchFamily="17" charset="-128"/>
                </a:rPr>
                <a:t>"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"ti</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√("n" &amp;"X" )</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twoCellAnchor>
    <xdr:from>
      <xdr:col>1</xdr:col>
      <xdr:colOff>0</xdr:colOff>
      <xdr:row>50</xdr:row>
      <xdr:rowOff>0</xdr:rowOff>
    </xdr:from>
    <xdr:to>
      <xdr:col>18</xdr:col>
      <xdr:colOff>240195</xdr:colOff>
      <xdr:row>93</xdr:row>
      <xdr:rowOff>0</xdr:rowOff>
    </xdr:to>
    <xdr:sp macro="" textlink="">
      <xdr:nvSpPr>
        <xdr:cNvPr id="14" name="正方形/長方形 13"/>
        <xdr:cNvSpPr/>
      </xdr:nvSpPr>
      <xdr:spPr>
        <a:xfrm>
          <a:off x="356152" y="8001000"/>
          <a:ext cx="6294782" cy="717273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342900</xdr:colOff>
      <xdr:row>197</xdr:row>
      <xdr:rowOff>47624</xdr:rowOff>
    </xdr:from>
    <xdr:to>
      <xdr:col>10</xdr:col>
      <xdr:colOff>38100</xdr:colOff>
      <xdr:row>200</xdr:row>
      <xdr:rowOff>145148</xdr:rowOff>
    </xdr:to>
    <xdr:pic>
      <xdr:nvPicPr>
        <xdr:cNvPr id="15" name="図 1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048" t="9822" r="20074"/>
        <a:stretch/>
      </xdr:blipFill>
      <xdr:spPr>
        <a:xfrm>
          <a:off x="2809875" y="28079699"/>
          <a:ext cx="752475" cy="640449"/>
        </a:xfrm>
        <a:prstGeom prst="rect">
          <a:avLst/>
        </a:prstGeom>
      </xdr:spPr>
    </xdr:pic>
    <xdr:clientData/>
  </xdr:twoCellAnchor>
  <xdr:twoCellAnchor editAs="oneCell">
    <xdr:from>
      <xdr:col>13</xdr:col>
      <xdr:colOff>238126</xdr:colOff>
      <xdr:row>197</xdr:row>
      <xdr:rowOff>66676</xdr:rowOff>
    </xdr:from>
    <xdr:to>
      <xdr:col>15</xdr:col>
      <xdr:colOff>326741</xdr:colOff>
      <xdr:row>200</xdr:row>
      <xdr:rowOff>152401</xdr:rowOff>
    </xdr:to>
    <xdr:pic>
      <xdr:nvPicPr>
        <xdr:cNvPr id="16" name="図 15"/>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690" t="4498" r="14914" b="3129"/>
        <a:stretch/>
      </xdr:blipFill>
      <xdr:spPr>
        <a:xfrm>
          <a:off x="4819651" y="28098751"/>
          <a:ext cx="793465" cy="628650"/>
        </a:xfrm>
        <a:prstGeom prst="rect">
          <a:avLst/>
        </a:prstGeom>
      </xdr:spPr>
    </xdr:pic>
    <xdr:clientData/>
  </xdr:twoCellAnchor>
  <xdr:oneCellAnchor>
    <xdr:from>
      <xdr:col>2</xdr:col>
      <xdr:colOff>222218</xdr:colOff>
      <xdr:row>271</xdr:row>
      <xdr:rowOff>17938</xdr:rowOff>
    </xdr:from>
    <xdr:ext cx="1904367" cy="183384"/>
    <mc:AlternateContent xmlns:mc="http://schemas.openxmlformats.org/markup-compatibility/2006" xmlns:a14="http://schemas.microsoft.com/office/drawing/2010/main">
      <mc:Choice Requires="a14">
        <xdr:sp macro="" textlink="">
          <xdr:nvSpPr>
            <xdr:cNvPr id="2" name="テキスト ボックス 1"/>
            <xdr:cNvSpPr txBox="1"/>
          </xdr:nvSpPr>
          <xdr:spPr>
            <a:xfrm>
              <a:off x="927068" y="48462088"/>
              <a:ext cx="1904367"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ja-JP" altLang="en-US" sz="1100" b="0" i="0">
                        <a:latin typeface="ＭＳ 明朝" panose="02020609040205080304" pitchFamily="17" charset="-128"/>
                        <a:ea typeface="ＭＳ 明朝" panose="02020609040205080304" pitchFamily="17" charset="-128"/>
                      </a:rPr>
                      <m:t>Ｖ</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ja-JP" altLang="en-US" sz="1100" b="0" i="0">
                        <a:latin typeface="ＭＳ 明朝" panose="02020609040205080304" pitchFamily="17" charset="-128"/>
                        <a:ea typeface="ＭＳ 明朝" panose="02020609040205080304" pitchFamily="17" charset="-128"/>
                      </a:rPr>
                      <m:t>＝</m:t>
                    </m:r>
                    <m:r>
                      <m:rPr>
                        <m:nor/>
                      </m:rPr>
                      <a:rPr kumimoji="1" lang="en-US" altLang="ja-JP" sz="1100" b="0" i="0">
                        <a:latin typeface="ＭＳ 明朝" panose="02020609040205080304" pitchFamily="17" charset="-128"/>
                        <a:ea typeface="ＭＳ 明朝" panose="02020609040205080304" pitchFamily="17" charset="-128"/>
                      </a:rPr>
                      <m:t> </m:t>
                    </m:r>
                    <m:r>
                      <a:rPr kumimoji="1" lang="ja-JP" altLang="en-US" sz="1100" b="0" i="1">
                        <a:latin typeface="Cambria Math" panose="02040503050406030204" pitchFamily="18" charset="0"/>
                        <a:ea typeface="ＭＳ 明朝" panose="02020609040205080304" pitchFamily="17" charset="-128"/>
                      </a:rPr>
                      <m:t>Ｈ</m:t>
                    </m:r>
                    <m:r>
                      <m:rPr>
                        <m:nor/>
                      </m:rPr>
                      <a:rPr kumimoji="1" lang="en-US" altLang="ja-JP" sz="1100" b="0" i="0">
                        <a:latin typeface="ＭＳ 明朝" panose="02020609040205080304" pitchFamily="17" charset="-128"/>
                        <a:ea typeface="ＭＳ 明朝" panose="02020609040205080304" pitchFamily="17" charset="-128"/>
                      </a:rPr>
                      <m:t> × </m:t>
                    </m:r>
                    <m:r>
                      <a:rPr kumimoji="1" lang="ja-JP" altLang="en-US" sz="1100" b="0" i="1">
                        <a:latin typeface="Cambria Math" panose="02040503050406030204" pitchFamily="18" charset="0"/>
                        <a:ea typeface="ＭＳ 明朝" panose="02020609040205080304" pitchFamily="17" charset="-128"/>
                      </a:rPr>
                      <m:t>Ｗ</m:t>
                    </m:r>
                    <m:r>
                      <m:rPr>
                        <m:nor/>
                      </m:rPr>
                      <a:rPr kumimoji="1" lang="en-US" altLang="ja-JP" sz="1100" b="0" i="0">
                        <a:latin typeface="ＭＳ 明朝" panose="02020609040205080304" pitchFamily="17" charset="-128"/>
                        <a:ea typeface="ＭＳ 明朝" panose="02020609040205080304" pitchFamily="17" charset="-128"/>
                      </a:rPr>
                      <m:t> × </m:t>
                    </m:r>
                    <m:r>
                      <a:rPr kumimoji="1" lang="ja-JP" altLang="en-US" sz="1100" b="0" i="1">
                        <a:latin typeface="Cambria Math" panose="02040503050406030204" pitchFamily="18" charset="0"/>
                        <a:ea typeface="ＭＳ 明朝" panose="02020609040205080304" pitchFamily="17" charset="-128"/>
                      </a:rPr>
                      <m:t>Ｌ</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ja-JP" altLang="en-US" sz="1100" b="0" i="0">
                        <a:latin typeface="ＭＳ 明朝" panose="02020609040205080304" pitchFamily="17" charset="-128"/>
                        <a:ea typeface="ＭＳ 明朝" panose="02020609040205080304" pitchFamily="17" charset="-128"/>
                      </a:rPr>
                      <m:t>Ｎ</m:t>
                    </m:r>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2" name="テキスト ボックス 1"/>
            <xdr:cNvSpPr txBox="1"/>
          </xdr:nvSpPr>
          <xdr:spPr>
            <a:xfrm>
              <a:off x="927068" y="48462088"/>
              <a:ext cx="1904367"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b="0" i="0">
                  <a:latin typeface="Cambria Math" panose="02040503050406030204" pitchFamily="18" charset="0"/>
                  <a:ea typeface="ＭＳ 明朝" panose="02020609040205080304" pitchFamily="17" charset="-128"/>
                </a:rPr>
                <a:t>"Ｖ</a:t>
              </a:r>
              <a:r>
                <a:rPr kumimoji="1" lang="en-US" altLang="ja-JP" sz="1100" b="0" i="0">
                  <a:latin typeface="Cambria Math" panose="02040503050406030204" pitchFamily="18" charset="0"/>
                  <a:ea typeface="ＭＳ 明朝" panose="02020609040205080304" pitchFamily="17" charset="-128"/>
                </a:rPr>
                <a:t> </a:t>
              </a:r>
              <a:r>
                <a:rPr kumimoji="1" lang="ja-JP" altLang="en-US" sz="1100" b="0" i="0">
                  <a:latin typeface="Cambria Math" panose="02040503050406030204" pitchFamily="18" charset="0"/>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ja-JP" altLang="en-US" sz="1100" b="0" i="0">
                  <a:latin typeface="Cambria Math" panose="02040503050406030204" pitchFamily="18" charset="0"/>
                  <a:ea typeface="ＭＳ 明朝" panose="02020609040205080304" pitchFamily="17" charset="-128"/>
                </a:rPr>
                <a:t>" Ｈ</a:t>
              </a:r>
              <a:r>
                <a:rPr kumimoji="1" lang="en-US" altLang="ja-JP" sz="1100" b="0" i="0">
                  <a:latin typeface="Cambria Math" panose="02040503050406030204" pitchFamily="18" charset="0"/>
                  <a:ea typeface="ＭＳ 明朝" panose="02020609040205080304" pitchFamily="17" charset="-128"/>
                </a:rPr>
                <a:t>" × </a:t>
              </a:r>
              <a:r>
                <a:rPr kumimoji="1" lang="ja-JP" altLang="en-US" sz="1100" b="0" i="0">
                  <a:latin typeface="Cambria Math" panose="02040503050406030204" pitchFamily="18" charset="0"/>
                  <a:ea typeface="ＭＳ 明朝" panose="02020609040205080304" pitchFamily="17" charset="-128"/>
                </a:rPr>
                <a:t>" Ｗ</a:t>
              </a:r>
              <a:r>
                <a:rPr kumimoji="1" lang="en-US" altLang="ja-JP" sz="1100" b="0" i="0">
                  <a:latin typeface="Cambria Math" panose="02040503050406030204" pitchFamily="18" charset="0"/>
                  <a:ea typeface="ＭＳ 明朝" panose="02020609040205080304" pitchFamily="17" charset="-128"/>
                </a:rPr>
                <a:t>" × </a:t>
              </a:r>
              <a:r>
                <a:rPr kumimoji="1" lang="ja-JP" altLang="en-US" sz="1100" b="0" i="0">
                  <a:latin typeface="Cambria Math" panose="02040503050406030204" pitchFamily="18" charset="0"/>
                  <a:ea typeface="ＭＳ 明朝" panose="02020609040205080304" pitchFamily="17" charset="-128"/>
                </a:rPr>
                <a:t>" Ｌ</a:t>
              </a:r>
              <a:r>
                <a:rPr kumimoji="1" lang="en-US" altLang="ja-JP" sz="1100" b="0" i="0">
                  <a:latin typeface="Cambria Math" panose="02040503050406030204" pitchFamily="18" charset="0"/>
                  <a:ea typeface="ＭＳ 明朝" panose="02020609040205080304" pitchFamily="17" charset="-128"/>
                </a:rPr>
                <a:t>" × </a:t>
              </a:r>
              <a:r>
                <a:rPr kumimoji="1" lang="ja-JP" altLang="en-US" sz="1100" b="0" i="0">
                  <a:latin typeface="Cambria Math" panose="02040503050406030204" pitchFamily="18" charset="0"/>
                  <a:ea typeface="ＭＳ 明朝" panose="02020609040205080304" pitchFamily="17" charset="-128"/>
                </a:rPr>
                <a:t>Ｎ</a:t>
              </a:r>
              <a:r>
                <a:rPr kumimoji="1" lang="ja-JP" altLang="en-US" sz="1100" b="0" i="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203168</xdr:colOff>
      <xdr:row>274</xdr:row>
      <xdr:rowOff>17938</xdr:rowOff>
    </xdr:from>
    <xdr:ext cx="4434484" cy="252057"/>
    <mc:AlternateContent xmlns:mc="http://schemas.openxmlformats.org/markup-compatibility/2006" xmlns:a14="http://schemas.microsoft.com/office/drawing/2010/main">
      <mc:Choice Requires="a14">
        <xdr:sp macro="" textlink="">
          <xdr:nvSpPr>
            <xdr:cNvPr id="17" name="テキスト ボックス 16"/>
            <xdr:cNvSpPr txBox="1"/>
          </xdr:nvSpPr>
          <xdr:spPr>
            <a:xfrm>
              <a:off x="908018" y="49005013"/>
              <a:ext cx="4434484" cy="25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ja-JP" altLang="en-US" sz="1100" b="0" i="0">
                        <a:latin typeface="ＭＳ 明朝" panose="02020609040205080304" pitchFamily="17" charset="-128"/>
                        <a:ea typeface="ＭＳ 明朝" panose="02020609040205080304" pitchFamily="17" charset="-128"/>
                      </a:rPr>
                      <m:t>Ｖ</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ja-JP" altLang="en-US" sz="1100" b="0" i="0">
                        <a:latin typeface="ＭＳ 明朝" panose="02020609040205080304" pitchFamily="17" charset="-128"/>
                        <a:ea typeface="ＭＳ 明朝" panose="02020609040205080304" pitchFamily="17" charset="-128"/>
                      </a:rPr>
                      <m:t>＝</m:t>
                    </m:r>
                    <m:d>
                      <m:dPr>
                        <m:begChr m:val="["/>
                        <m:endChr m:val="]"/>
                        <m:ctrlPr>
                          <a:rPr kumimoji="1" lang="en-US" altLang="ja-JP" sz="1100" b="0" i="1">
                            <a:latin typeface="Cambria Math" panose="02040503050406030204" pitchFamily="18" charset="0"/>
                            <a:ea typeface="ＭＳ 明朝" panose="02020609040205080304" pitchFamily="17" charset="-128"/>
                          </a:rPr>
                        </m:ctrlPr>
                      </m:dPr>
                      <m:e>
                        <m:r>
                          <m:rPr>
                            <m:nor/>
                          </m:rPr>
                          <a:rPr kumimoji="1" lang="en-US" altLang="ja-JP" sz="1100" b="0" i="0">
                            <a:latin typeface="ＭＳ 明朝" panose="02020609040205080304" pitchFamily="17" charset="-128"/>
                            <a:ea typeface="ＭＳ 明朝" panose="02020609040205080304" pitchFamily="17" charset="-128"/>
                          </a:rPr>
                          <m:t> </m:t>
                        </m:r>
                        <m:r>
                          <a:rPr kumimoji="1" lang="ja-JP" altLang="en-US" sz="1100" b="0" i="1">
                            <a:latin typeface="Cambria Math" panose="02040503050406030204" pitchFamily="18" charset="0"/>
                            <a:ea typeface="ＭＳ 明朝" panose="02020609040205080304" pitchFamily="17" charset="-128"/>
                          </a:rPr>
                          <m:t>Ｈ</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ja-JP" altLang="en-US" sz="1100" b="0" i="0">
                            <a:latin typeface="ＭＳ 明朝" panose="02020609040205080304" pitchFamily="17" charset="-128"/>
                            <a:ea typeface="ＭＳ 明朝" panose="02020609040205080304" pitchFamily="17" charset="-128"/>
                          </a:rPr>
                          <m:t>Ｗ</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λ</m:t>
                        </m:r>
                        <m:r>
                          <m:rPr>
                            <m:nor/>
                          </m:rPr>
                          <a:rPr kumimoji="1" lang="en-US" altLang="ja-JP" sz="1100" b="0" i="0">
                            <a:latin typeface="ＭＳ 明朝" panose="02020609040205080304" pitchFamily="17" charset="-128"/>
                            <a:ea typeface="ＭＳ 明朝" panose="02020609040205080304" pitchFamily="17" charset="-128"/>
                          </a:rPr>
                          <m:t> +</m:t>
                        </m:r>
                        <m:d>
                          <m:dPr>
                            <m:ctrlPr>
                              <a:rPr kumimoji="1" lang="en-US" altLang="ja-JP" sz="1100" b="0" i="1">
                                <a:latin typeface="Cambria Math" panose="02040503050406030204" pitchFamily="18" charset="0"/>
                                <a:ea typeface="Cambria Math" panose="02040503050406030204" pitchFamily="18" charset="0"/>
                              </a:rPr>
                            </m:ctrlPr>
                          </m:dPr>
                          <m:e>
                            <m:r>
                              <m:rPr>
                                <m:nor/>
                              </m:rPr>
                              <a:rPr kumimoji="1" lang="en-US" altLang="ja-JP" sz="1100" b="0" i="0">
                                <a:latin typeface="ＭＳ 明朝" panose="02020609040205080304" pitchFamily="17" charset="-128"/>
                                <a:ea typeface="ＭＳ 明朝" panose="02020609040205080304" pitchFamily="17" charset="-128"/>
                              </a:rPr>
                              <m:t> 1 − </m:t>
                            </m:r>
                            <m:r>
                              <m:rPr>
                                <m:nor/>
                              </m:rPr>
                              <a:rPr kumimoji="1" lang="en-US" altLang="ja-JP" sz="1100" b="0" i="0">
                                <a:latin typeface="ＭＳ 明朝" panose="02020609040205080304" pitchFamily="17" charset="-128"/>
                                <a:ea typeface="ＭＳ 明朝" panose="02020609040205080304" pitchFamily="17" charset="-128"/>
                              </a:rPr>
                              <m:t>λ</m:t>
                            </m:r>
                            <m:r>
                              <m:rPr>
                                <m:nor/>
                              </m:rPr>
                              <a:rPr kumimoji="1" lang="en-US" altLang="ja-JP" sz="1100" b="0" i="0">
                                <a:latin typeface="ＭＳ 明朝" panose="02020609040205080304" pitchFamily="17" charset="-128"/>
                                <a:ea typeface="ＭＳ 明朝" panose="02020609040205080304" pitchFamily="17" charset="-128"/>
                              </a:rPr>
                              <m:t> </m:t>
                            </m:r>
                          </m:e>
                        </m:d>
                        <m:r>
                          <m:rPr>
                            <m:nor/>
                          </m:rPr>
                          <a:rPr kumimoji="1" lang="en-US" altLang="ja-JP" sz="1100" b="0" i="0">
                            <a:latin typeface="ＭＳ 明朝" panose="02020609040205080304" pitchFamily="17" charset="-128"/>
                            <a:ea typeface="ＭＳ 明朝" panose="02020609040205080304" pitchFamily="17" charset="-128"/>
                          </a:rPr>
                          <m:t>×</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D</m:t>
                            </m:r>
                          </m:e>
                          <m:sup>
                            <m:r>
                              <m:rPr>
                                <m:nor/>
                              </m:rPr>
                              <a:rPr kumimoji="1" lang="en-US" altLang="ja-JP" sz="1100" b="0" i="0">
                                <a:latin typeface="ＭＳ 明朝" panose="02020609040205080304" pitchFamily="17" charset="-128"/>
                                <a:ea typeface="ＭＳ 明朝" panose="02020609040205080304" pitchFamily="17" charset="-128"/>
                              </a:rPr>
                              <m:t>2</m:t>
                            </m:r>
                          </m:sup>
                        </m:sSup>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π</m:t>
                        </m:r>
                        <m:r>
                          <m:rPr>
                            <m:nor/>
                          </m:rPr>
                          <a:rPr kumimoji="1" lang="en-US" altLang="ja-JP" sz="1100" b="0" i="0">
                            <a:latin typeface="ＭＳ 明朝" panose="02020609040205080304" pitchFamily="17" charset="-128"/>
                            <a:ea typeface="ＭＳ 明朝" panose="02020609040205080304" pitchFamily="17" charset="-128"/>
                          </a:rPr>
                          <m:t> ÷ 4 </m:t>
                        </m:r>
                      </m:e>
                    </m:d>
                    <m:r>
                      <m:rPr>
                        <m:nor/>
                      </m:rPr>
                      <a:rPr kumimoji="1" lang="en-US" altLang="ja-JP" sz="1100" b="0" i="0">
                        <a:latin typeface="ＭＳ 明朝" panose="02020609040205080304" pitchFamily="17" charset="-128"/>
                        <a:ea typeface="ＭＳ 明朝" panose="02020609040205080304" pitchFamily="17" charset="-128"/>
                      </a:rPr>
                      <m:t> × </m:t>
                    </m:r>
                    <m:r>
                      <a:rPr kumimoji="1" lang="ja-JP" altLang="en-US" sz="1100" b="0" i="1">
                        <a:latin typeface="Cambria Math" panose="02040503050406030204" pitchFamily="18" charset="0"/>
                        <a:ea typeface="ＭＳ 明朝" panose="02020609040205080304" pitchFamily="17" charset="-128"/>
                      </a:rPr>
                      <m:t>Ｌ</m:t>
                    </m:r>
                    <m:r>
                      <m:rPr>
                        <m:nor/>
                      </m:rPr>
                      <a:rPr kumimoji="1" lang="en-US" altLang="ja-JP" sz="1100" b="0" i="0">
                        <a:latin typeface="ＭＳ 明朝" panose="02020609040205080304" pitchFamily="17" charset="-128"/>
                        <a:ea typeface="ＭＳ 明朝" panose="02020609040205080304" pitchFamily="17" charset="-128"/>
                      </a:rPr>
                      <m:t> × </m:t>
                    </m:r>
                    <m:r>
                      <m:rPr>
                        <m:nor/>
                      </m:rPr>
                      <a:rPr kumimoji="1" lang="ja-JP" altLang="en-US" sz="1100" b="0" i="0">
                        <a:latin typeface="ＭＳ 明朝" panose="02020609040205080304" pitchFamily="17" charset="-128"/>
                        <a:ea typeface="ＭＳ 明朝" panose="02020609040205080304" pitchFamily="17" charset="-128"/>
                      </a:rPr>
                      <m:t>Ｎ</m:t>
                    </m:r>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17" name="テキスト ボックス 16"/>
            <xdr:cNvSpPr txBox="1"/>
          </xdr:nvSpPr>
          <xdr:spPr>
            <a:xfrm>
              <a:off x="908018" y="49005013"/>
              <a:ext cx="4434484" cy="25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b="0" i="0">
                  <a:latin typeface="Cambria Math" panose="02040503050406030204" pitchFamily="18" charset="0"/>
                  <a:ea typeface="ＭＳ 明朝" panose="02020609040205080304" pitchFamily="17" charset="-128"/>
                </a:rPr>
                <a:t>"Ｖ</a:t>
              </a:r>
              <a:r>
                <a:rPr kumimoji="1" lang="en-US" altLang="ja-JP" sz="1100" b="0" i="0">
                  <a:latin typeface="Cambria Math" panose="02040503050406030204" pitchFamily="18" charset="0"/>
                  <a:ea typeface="ＭＳ 明朝" panose="02020609040205080304" pitchFamily="17" charset="-128"/>
                </a:rPr>
                <a:t> </a:t>
              </a:r>
              <a:r>
                <a:rPr kumimoji="1" lang="ja-JP" altLang="en-US" sz="1100" b="0" i="0">
                  <a:latin typeface="Cambria Math" panose="02040503050406030204" pitchFamily="18" charset="0"/>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a:t>
              </a:r>
              <a:r>
                <a:rPr kumimoji="1" lang="ja-JP" altLang="en-US" sz="1100" b="0" i="0">
                  <a:latin typeface="Cambria Math" panose="02040503050406030204" pitchFamily="18" charset="0"/>
                  <a:ea typeface="ＭＳ 明朝" panose="02020609040205080304" pitchFamily="17" charset="-128"/>
                </a:rPr>
                <a:t>" Ｈ</a:t>
              </a:r>
              <a:r>
                <a:rPr kumimoji="1" lang="en-US" altLang="ja-JP" sz="1100" b="0" i="0">
                  <a:latin typeface="Cambria Math" panose="02040503050406030204" pitchFamily="18" charset="0"/>
                  <a:ea typeface="ＭＳ 明朝" panose="02020609040205080304" pitchFamily="17" charset="-128"/>
                </a:rPr>
                <a:t>"</a:t>
              </a:r>
              <a:r>
                <a:rPr kumimoji="1" lang="en-US" altLang="ja-JP" sz="1100" b="0" i="0">
                  <a:latin typeface="ＭＳ 明朝" panose="02020609040205080304" pitchFamily="17" charset="-128"/>
                  <a:ea typeface="ＭＳ 明朝" panose="02020609040205080304" pitchFamily="17" charset="-128"/>
                </a:rPr>
                <a:t> × </a:t>
              </a:r>
              <a:r>
                <a:rPr kumimoji="1" lang="ja-JP" altLang="en-US" sz="1100" b="0" i="0">
                  <a:latin typeface="ＭＳ 明朝" panose="02020609040205080304" pitchFamily="17" charset="-128"/>
                  <a:ea typeface="ＭＳ 明朝" panose="02020609040205080304" pitchFamily="17" charset="-128"/>
                </a:rPr>
                <a:t>Ｗ</a:t>
              </a:r>
              <a:r>
                <a:rPr kumimoji="1" lang="en-US" altLang="ja-JP" sz="1100" b="0" i="0">
                  <a:latin typeface="ＭＳ 明朝" panose="02020609040205080304" pitchFamily="17" charset="-128"/>
                  <a:ea typeface="ＭＳ 明朝" panose="02020609040205080304" pitchFamily="17" charset="-128"/>
                </a:rPr>
                <a:t> × λ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1 - λ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D</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 π ÷ 4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 </a:t>
              </a:r>
              <a:r>
                <a:rPr kumimoji="1" lang="ja-JP" altLang="en-US" sz="1100" b="0" i="0">
                  <a:latin typeface="Cambria Math" panose="02040503050406030204" pitchFamily="18" charset="0"/>
                  <a:ea typeface="ＭＳ 明朝" panose="02020609040205080304" pitchFamily="17" charset="-128"/>
                </a:rPr>
                <a:t>" Ｌ</a:t>
              </a:r>
              <a:r>
                <a:rPr kumimoji="1" lang="en-US" altLang="ja-JP" sz="1100" b="0" i="0">
                  <a:latin typeface="Cambria Math" panose="02040503050406030204" pitchFamily="18" charset="0"/>
                  <a:ea typeface="ＭＳ 明朝" panose="02020609040205080304" pitchFamily="17" charset="-128"/>
                </a:rPr>
                <a:t>" × </a:t>
              </a:r>
              <a:r>
                <a:rPr kumimoji="1" lang="ja-JP" altLang="en-US" sz="1100" b="0" i="0">
                  <a:latin typeface="Cambria Math" panose="02040503050406030204" pitchFamily="18" charset="0"/>
                  <a:ea typeface="ＭＳ 明朝" panose="02020609040205080304" pitchFamily="17" charset="-128"/>
                </a:rPr>
                <a:t>Ｎ</a:t>
              </a:r>
              <a:r>
                <a:rPr kumimoji="1" lang="ja-JP" altLang="en-US" sz="1100" b="0" i="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oneCellAnchor>
    <xdr:from>
      <xdr:col>2</xdr:col>
      <xdr:colOff>171450</xdr:colOff>
      <xdr:row>277</xdr:row>
      <xdr:rowOff>19050</xdr:rowOff>
    </xdr:from>
    <xdr:ext cx="5247206" cy="252057"/>
    <mc:AlternateContent xmlns:mc="http://schemas.openxmlformats.org/markup-compatibility/2006" xmlns:a14="http://schemas.microsoft.com/office/drawing/2010/main">
      <mc:Choice Requires="a14">
        <xdr:sp macro="" textlink="">
          <xdr:nvSpPr>
            <xdr:cNvPr id="20" name="テキスト ボックス 19"/>
            <xdr:cNvSpPr txBox="1"/>
          </xdr:nvSpPr>
          <xdr:spPr>
            <a:xfrm>
              <a:off x="876300" y="49549050"/>
              <a:ext cx="5247206" cy="25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kumimoji="1" lang="ja-JP" altLang="en-US" sz="1100" b="0" i="0">
                        <a:latin typeface="ＭＳ 明朝" panose="02020609040205080304" pitchFamily="17" charset="-128"/>
                        <a:ea typeface="ＭＳ 明朝" panose="02020609040205080304" pitchFamily="17" charset="-128"/>
                      </a:rPr>
                      <m:t>Ｖ</m:t>
                    </m:r>
                    <m:r>
                      <m:rPr>
                        <m:nor/>
                      </m:rPr>
                      <a:rPr kumimoji="1" lang="en-US" altLang="ja-JP" sz="1100" b="0" i="0">
                        <a:latin typeface="ＭＳ 明朝" panose="02020609040205080304" pitchFamily="17" charset="-128"/>
                        <a:ea typeface="ＭＳ 明朝" panose="02020609040205080304" pitchFamily="17" charset="-128"/>
                      </a:rPr>
                      <m:t> </m:t>
                    </m:r>
                    <m:r>
                      <m:rPr>
                        <m:nor/>
                      </m:rPr>
                      <a:rPr kumimoji="1" lang="ja-JP" altLang="en-US" sz="1100" b="0" i="0">
                        <a:latin typeface="ＭＳ 明朝" panose="02020609040205080304" pitchFamily="17" charset="-128"/>
                        <a:ea typeface="ＭＳ 明朝" panose="02020609040205080304" pitchFamily="17" charset="-128"/>
                      </a:rPr>
                      <m:t>＝</m:t>
                    </m:r>
                    <m:d>
                      <m:dPr>
                        <m:begChr m:val="["/>
                        <m:endChr m:val="]"/>
                        <m:ctrlPr>
                          <a:rPr kumimoji="1" lang="en-US" altLang="ja-JP" sz="1100" b="0" i="1">
                            <a:latin typeface="Cambria Math" panose="02040503050406030204" pitchFamily="18" charset="0"/>
                            <a:ea typeface="ＭＳ 明朝" panose="02020609040205080304" pitchFamily="17" charset="-128"/>
                          </a:rPr>
                        </m:ctrlPr>
                      </m:dPr>
                      <m:e>
                        <m:r>
                          <m:rPr>
                            <m:nor/>
                          </m:rPr>
                          <a:rPr kumimoji="1" lang="en-US" altLang="ja-JP" sz="1100" b="0" i="0">
                            <a:latin typeface="ＭＳ 明朝" panose="02020609040205080304" pitchFamily="17" charset="-128"/>
                            <a:ea typeface="ＭＳ 明朝" panose="02020609040205080304" pitchFamily="17" charset="-128"/>
                          </a:rPr>
                          <m:t> </m:t>
                        </m:r>
                        <m:r>
                          <a:rPr kumimoji="1" lang="ja-JP" altLang="en-US" sz="1100" b="0" i="1">
                            <a:latin typeface="Cambria Math" panose="02040503050406030204" pitchFamily="18" charset="0"/>
                            <a:ea typeface="ＭＳ 明朝" panose="02020609040205080304" pitchFamily="17" charset="-128"/>
                          </a:rPr>
                          <m:t>Ｈ</m:t>
                        </m:r>
                        <m:r>
                          <a:rPr kumimoji="1" lang="en-US" altLang="ja-JP" sz="1100" b="0" i="1">
                            <a:latin typeface="Cambria Math" panose="02040503050406030204" pitchFamily="18" charset="0"/>
                            <a:ea typeface="ＭＳ 明朝" panose="02020609040205080304" pitchFamily="17" charset="-128"/>
                          </a:rPr>
                          <m:t> </m:t>
                        </m:r>
                        <m:r>
                          <m:rPr>
                            <m:nor/>
                          </m:rPr>
                          <a:rPr kumimoji="1" lang="en-US" altLang="ja-JP" sz="1100" b="0" i="0">
                            <a:latin typeface="ＭＳ 明朝" panose="02020609040205080304" pitchFamily="17" charset="-128"/>
                            <a:ea typeface="ＭＳ 明朝" panose="02020609040205080304" pitchFamily="17" charset="-128"/>
                          </a:rPr>
                          <m:t>× </m:t>
                        </m:r>
                        <m:sSup>
                          <m:sSupPr>
                            <m:ctrlPr>
                              <a:rPr kumimoji="1" lang="en-US" altLang="ja-JP" sz="1100" b="0" i="1">
                                <a:latin typeface="Cambria Math" panose="02040503050406030204" pitchFamily="18" charset="0"/>
                                <a:ea typeface="ＭＳ 明朝" panose="02020609040205080304" pitchFamily="17" charset="-128"/>
                              </a:rPr>
                            </m:ctrlPr>
                          </m:sSupPr>
                          <m:e>
                            <m:r>
                              <m:rPr>
                                <m:nor/>
                              </m:rPr>
                              <a:rPr kumimoji="1" lang="ja-JP" altLang="en-US" sz="1100" b="0" i="0">
                                <a:latin typeface="ＭＳ 明朝" panose="02020609040205080304" pitchFamily="17" charset="-128"/>
                                <a:ea typeface="ＭＳ 明朝" panose="02020609040205080304" pitchFamily="17" charset="-128"/>
                              </a:rPr>
                              <m:t>Ｗ</m:t>
                            </m:r>
                          </m:e>
                          <m:sup>
                            <m:r>
                              <m:rPr>
                                <m:nor/>
                              </m:rPr>
                              <a:rPr kumimoji="1" lang="en-US" altLang="ja-JP" sz="1100" b="0" i="0">
                                <a:latin typeface="ＭＳ 明朝" panose="02020609040205080304" pitchFamily="17" charset="-128"/>
                                <a:ea typeface="ＭＳ 明朝" panose="02020609040205080304" pitchFamily="17" charset="-128"/>
                              </a:rPr>
                              <m:t>2</m:t>
                            </m:r>
                          </m:sup>
                        </m:sSup>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λ</m:t>
                        </m:r>
                        <m:r>
                          <m:rPr>
                            <m:nor/>
                          </m:rPr>
                          <a:rPr kumimoji="1" lang="en-US" altLang="ja-JP" sz="1100" b="0" i="0">
                            <a:latin typeface="ＭＳ 明朝" panose="02020609040205080304" pitchFamily="17" charset="-128"/>
                            <a:ea typeface="ＭＳ 明朝" panose="02020609040205080304" pitchFamily="17" charset="-128"/>
                          </a:rPr>
                          <m:t> + </m:t>
                        </m:r>
                        <m:d>
                          <m:dPr>
                            <m:ctrlPr>
                              <a:rPr kumimoji="1" lang="en-US" altLang="ja-JP" sz="1100" b="0" i="1">
                                <a:latin typeface="Cambria Math" panose="02040503050406030204" pitchFamily="18" charset="0"/>
                                <a:ea typeface="Cambria Math" panose="02040503050406030204" pitchFamily="18" charset="0"/>
                              </a:rPr>
                            </m:ctrlPr>
                          </m:dPr>
                          <m:e>
                            <m:r>
                              <m:rPr>
                                <m:nor/>
                              </m:rPr>
                              <a:rPr kumimoji="1" lang="en-US" altLang="ja-JP" sz="1100" b="0" i="0">
                                <a:latin typeface="ＭＳ 明朝" panose="02020609040205080304" pitchFamily="17" charset="-128"/>
                                <a:ea typeface="ＭＳ 明朝" panose="02020609040205080304" pitchFamily="17" charset="-128"/>
                              </a:rPr>
                              <m:t> 1 − </m:t>
                            </m:r>
                            <m:r>
                              <m:rPr>
                                <m:nor/>
                              </m:rPr>
                              <a:rPr kumimoji="1" lang="en-US" altLang="ja-JP" sz="1100" b="0" i="0">
                                <a:latin typeface="ＭＳ 明朝" panose="02020609040205080304" pitchFamily="17" charset="-128"/>
                                <a:ea typeface="ＭＳ 明朝" panose="02020609040205080304" pitchFamily="17" charset="-128"/>
                              </a:rPr>
                              <m:t>λ</m:t>
                            </m:r>
                            <m:r>
                              <m:rPr>
                                <m:nor/>
                              </m:rPr>
                              <a:rPr kumimoji="1" lang="en-US" altLang="ja-JP" sz="1100" b="0" i="0">
                                <a:latin typeface="ＭＳ 明朝" panose="02020609040205080304" pitchFamily="17" charset="-128"/>
                                <a:ea typeface="ＭＳ 明朝" panose="02020609040205080304" pitchFamily="17" charset="-128"/>
                              </a:rPr>
                              <m:t> </m:t>
                            </m:r>
                          </m:e>
                        </m:d>
                        <m:r>
                          <m:rPr>
                            <m:nor/>
                          </m:rPr>
                          <a:rPr kumimoji="1" lang="en-US" altLang="ja-JP" sz="1100" b="0" i="0">
                            <a:latin typeface="ＭＳ 明朝" panose="02020609040205080304" pitchFamily="17" charset="-128"/>
                            <a:ea typeface="ＭＳ 明朝" panose="02020609040205080304" pitchFamily="17" charset="-128"/>
                          </a:rPr>
                          <m:t>×</m:t>
                        </m:r>
                        <m:sSup>
                          <m:sSupPr>
                            <m:ctrlPr>
                              <a:rPr kumimoji="1" lang="en-US" altLang="ja-JP" sz="1100" b="0" i="1">
                                <a:latin typeface="Cambria Math" panose="02040503050406030204" pitchFamily="18" charset="0"/>
                                <a:ea typeface="Cambria Math" panose="02040503050406030204" pitchFamily="18" charset="0"/>
                              </a:rPr>
                            </m:ctrlPr>
                          </m:sSupPr>
                          <m:e>
                            <m:r>
                              <m:rPr>
                                <m:nor/>
                              </m:rPr>
                              <a:rPr kumimoji="1" lang="en-US" altLang="ja-JP" sz="1100" b="0" i="0">
                                <a:latin typeface="ＭＳ 明朝" panose="02020609040205080304" pitchFamily="17" charset="-128"/>
                                <a:ea typeface="ＭＳ 明朝" panose="02020609040205080304" pitchFamily="17" charset="-128"/>
                              </a:rPr>
                              <m:t>D</m:t>
                            </m:r>
                          </m:e>
                          <m:sup>
                            <m:r>
                              <m:rPr>
                                <m:nor/>
                              </m:rPr>
                              <a:rPr kumimoji="1" lang="en-US" altLang="ja-JP" sz="1100" b="0" i="0">
                                <a:latin typeface="ＭＳ 明朝" panose="02020609040205080304" pitchFamily="17" charset="-128"/>
                                <a:ea typeface="ＭＳ 明朝" panose="02020609040205080304" pitchFamily="17" charset="-128"/>
                              </a:rPr>
                              <m:t>2</m:t>
                            </m:r>
                          </m:sup>
                        </m:sSup>
                        <m:r>
                          <m:rPr>
                            <m:nor/>
                          </m:rPr>
                          <a:rPr kumimoji="1" lang="en-US" altLang="ja-JP" sz="1100" b="0" i="0">
                            <a:latin typeface="ＭＳ 明朝" panose="02020609040205080304" pitchFamily="17" charset="-128"/>
                            <a:ea typeface="ＭＳ 明朝" panose="02020609040205080304" pitchFamily="17" charset="-128"/>
                          </a:rPr>
                          <m:t> × </m:t>
                        </m:r>
                        <m:r>
                          <m:rPr>
                            <m:nor/>
                          </m:rPr>
                          <a:rPr kumimoji="1" lang="en-US" altLang="ja-JP" sz="1100" b="0" i="0">
                            <a:latin typeface="ＭＳ 明朝" panose="02020609040205080304" pitchFamily="17" charset="-128"/>
                            <a:ea typeface="ＭＳ 明朝" panose="02020609040205080304" pitchFamily="17" charset="-128"/>
                          </a:rPr>
                          <m:t>π</m:t>
                        </m:r>
                        <m:r>
                          <m:rPr>
                            <m:nor/>
                          </m:rPr>
                          <a:rPr kumimoji="1" lang="en-US" altLang="ja-JP" sz="1100" b="0" i="0">
                            <a:latin typeface="ＭＳ 明朝" panose="02020609040205080304" pitchFamily="17" charset="-128"/>
                            <a:ea typeface="ＭＳ 明朝" panose="02020609040205080304" pitchFamily="17" charset="-128"/>
                          </a:rPr>
                          <m:t> ÷ 4 ×( </m:t>
                        </m:r>
                        <m:r>
                          <m:rPr>
                            <m:nor/>
                          </m:rPr>
                          <a:rPr kumimoji="1" lang="ja-JP" altLang="en-US" sz="1100" b="0" i="0">
                            <a:latin typeface="ＭＳ 明朝" panose="02020609040205080304" pitchFamily="17" charset="-128"/>
                            <a:ea typeface="ＭＳ 明朝" panose="02020609040205080304" pitchFamily="17" charset="-128"/>
                          </a:rPr>
                          <m:t>Ｈ</m:t>
                        </m:r>
                        <m:r>
                          <m:rPr>
                            <m:nor/>
                          </m:rPr>
                          <a:rPr kumimoji="1" lang="en-US" altLang="ja-JP" sz="1100" b="0" i="0">
                            <a:latin typeface="ＭＳ 明朝" panose="02020609040205080304" pitchFamily="17" charset="-128"/>
                            <a:ea typeface="ＭＳ 明朝" panose="02020609040205080304" pitchFamily="17" charset="-128"/>
                          </a:rPr>
                          <m:t> − 0.15 ) </m:t>
                        </m:r>
                      </m:e>
                    </m:d>
                    <m:r>
                      <m:rPr>
                        <m:nor/>
                      </m:rPr>
                      <a:rPr kumimoji="1" lang="en-US" altLang="ja-JP" sz="1100" b="0" i="0">
                        <a:latin typeface="ＭＳ 明朝" panose="02020609040205080304" pitchFamily="17" charset="-128"/>
                        <a:ea typeface="ＭＳ 明朝" panose="02020609040205080304" pitchFamily="17" charset="-128"/>
                      </a:rPr>
                      <m:t>× </m:t>
                    </m:r>
                    <m:r>
                      <m:rPr>
                        <m:nor/>
                      </m:rPr>
                      <a:rPr kumimoji="1" lang="ja-JP" altLang="en-US" sz="1100" b="0" i="0">
                        <a:latin typeface="ＭＳ 明朝" panose="02020609040205080304" pitchFamily="17" charset="-128"/>
                        <a:ea typeface="ＭＳ 明朝" panose="02020609040205080304" pitchFamily="17" charset="-128"/>
                      </a:rPr>
                      <m:t>Ｎ</m:t>
                    </m:r>
                  </m:oMath>
                </m:oMathPara>
              </a14:m>
              <a:endParaRPr kumimoji="1" lang="ja-JP" altLang="en-US" sz="1100">
                <a:latin typeface="ＭＳ 明朝" panose="02020609040205080304" pitchFamily="17" charset="-128"/>
                <a:ea typeface="ＭＳ 明朝" panose="02020609040205080304" pitchFamily="17" charset="-128"/>
              </a:endParaRPr>
            </a:p>
          </xdr:txBody>
        </xdr:sp>
      </mc:Choice>
      <mc:Fallback xmlns="">
        <xdr:sp macro="" textlink="">
          <xdr:nvSpPr>
            <xdr:cNvPr id="20" name="テキスト ボックス 19"/>
            <xdr:cNvSpPr txBox="1"/>
          </xdr:nvSpPr>
          <xdr:spPr>
            <a:xfrm>
              <a:off x="876300" y="49549050"/>
              <a:ext cx="5247206" cy="25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b="0" i="0">
                  <a:latin typeface="Cambria Math" panose="02040503050406030204" pitchFamily="18" charset="0"/>
                  <a:ea typeface="ＭＳ 明朝" panose="02020609040205080304" pitchFamily="17" charset="-128"/>
                </a:rPr>
                <a:t>"Ｖ</a:t>
              </a:r>
              <a:r>
                <a:rPr kumimoji="1" lang="en-US" altLang="ja-JP" sz="1100" b="0" i="0">
                  <a:latin typeface="Cambria Math" panose="02040503050406030204" pitchFamily="18" charset="0"/>
                  <a:ea typeface="ＭＳ 明朝" panose="02020609040205080304" pitchFamily="17" charset="-128"/>
                </a:rPr>
                <a:t> </a:t>
              </a:r>
              <a:r>
                <a:rPr kumimoji="1" lang="ja-JP" altLang="en-US" sz="1100" b="0" i="0">
                  <a:latin typeface="Cambria Math" panose="02040503050406030204" pitchFamily="18" charset="0"/>
                  <a:ea typeface="ＭＳ 明朝" panose="02020609040205080304" pitchFamily="17" charset="-128"/>
                </a:rPr>
                <a:t>＝</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a:t>
              </a:r>
              <a:r>
                <a:rPr kumimoji="1" lang="ja-JP" altLang="en-US" sz="1100" b="0" i="0">
                  <a:latin typeface="Cambria Math" panose="02040503050406030204" pitchFamily="18" charset="0"/>
                  <a:ea typeface="ＭＳ 明朝" panose="02020609040205080304" pitchFamily="17" charset="-128"/>
                </a:rPr>
                <a:t>" Ｈ</a:t>
              </a:r>
              <a:r>
                <a:rPr kumimoji="1" lang="en-US" altLang="ja-JP" sz="1100" b="0" i="0">
                  <a:latin typeface="ＭＳ 明朝" panose="02020609040205080304" pitchFamily="17" charset="-128"/>
                  <a:ea typeface="ＭＳ 明朝" panose="02020609040205080304" pitchFamily="17" charset="-128"/>
                </a:rPr>
                <a:t> "× </a:t>
              </a:r>
              <a:r>
                <a:rPr kumimoji="1" lang="en-US" altLang="ja-JP" sz="1100" b="0" i="0">
                  <a:latin typeface="Cambria Math" panose="02040503050406030204" pitchFamily="18" charset="0"/>
                  <a:ea typeface="ＭＳ 明朝" panose="02020609040205080304" pitchFamily="17" charset="-128"/>
                </a:rPr>
                <a:t>" </a:t>
              </a:r>
              <a:r>
                <a:rPr kumimoji="1" lang="ja-JP" altLang="en-US" sz="1100" b="0" i="0">
                  <a:latin typeface="Cambria Math" panose="02040503050406030204" pitchFamily="18" charset="0"/>
                  <a:ea typeface="ＭＳ 明朝" panose="02020609040205080304" pitchFamily="17" charset="-128"/>
                </a:rPr>
                <a:t>"</a:t>
              </a:r>
              <a:r>
                <a:rPr kumimoji="1" lang="ja-JP" altLang="en-US" sz="1100" b="0" i="0">
                  <a:latin typeface="ＭＳ 明朝" panose="02020609040205080304" pitchFamily="17" charset="-128"/>
                  <a:ea typeface="ＭＳ 明朝" panose="02020609040205080304" pitchFamily="17" charset="-128"/>
                </a:rPr>
                <a:t>Ｗ</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ＭＳ 明朝" panose="02020609040205080304" pitchFamily="17" charset="-128"/>
                </a:rPr>
                <a:t>"  "</a:t>
              </a:r>
              <a:r>
                <a:rPr kumimoji="1" lang="en-US" altLang="ja-JP" sz="1100" b="0" i="0">
                  <a:latin typeface="ＭＳ 明朝" panose="02020609040205080304" pitchFamily="17" charset="-128"/>
                  <a:ea typeface="ＭＳ 明朝" panose="02020609040205080304" pitchFamily="17" charset="-128"/>
                </a:rPr>
                <a:t> × λ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1 - λ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D</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2</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ＭＳ 明朝" panose="02020609040205080304" pitchFamily="17" charset="-128"/>
                  <a:ea typeface="ＭＳ 明朝" panose="02020609040205080304" pitchFamily="17" charset="-128"/>
                </a:rPr>
                <a:t> × π ÷ 4 ×( </a:t>
              </a:r>
              <a:r>
                <a:rPr kumimoji="1" lang="ja-JP" altLang="en-US" sz="1100" b="0" i="0">
                  <a:latin typeface="ＭＳ 明朝" panose="02020609040205080304" pitchFamily="17" charset="-128"/>
                  <a:ea typeface="ＭＳ 明朝" panose="02020609040205080304" pitchFamily="17" charset="-128"/>
                </a:rPr>
                <a:t>Ｈ</a:t>
              </a:r>
              <a:r>
                <a:rPr kumimoji="1" lang="en-US" altLang="ja-JP" sz="1100" b="0" i="0">
                  <a:latin typeface="ＭＳ 明朝" panose="02020609040205080304" pitchFamily="17" charset="-128"/>
                  <a:ea typeface="ＭＳ 明朝" panose="02020609040205080304" pitchFamily="17" charset="-128"/>
                </a:rPr>
                <a:t> - 0.15 ) </a:t>
              </a:r>
              <a:r>
                <a:rPr kumimoji="1" lang="en-US" altLang="ja-JP"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ＭＳ 明朝" panose="02020609040205080304" pitchFamily="17" charset="-128"/>
                </a:rPr>
                <a:t>× </a:t>
              </a:r>
              <a:r>
                <a:rPr kumimoji="1" lang="ja-JP" altLang="en-US" sz="1100" b="0" i="0">
                  <a:latin typeface="Cambria Math" panose="02040503050406030204" pitchFamily="18" charset="0"/>
                  <a:ea typeface="ＭＳ 明朝" panose="02020609040205080304" pitchFamily="17" charset="-128"/>
                </a:rPr>
                <a:t>Ｎ</a:t>
              </a:r>
              <a:r>
                <a:rPr kumimoji="1" lang="ja-JP" altLang="en-US" sz="1100" b="0" i="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mc:Fallback>
    </mc:AlternateContent>
    <xdr:clientData/>
  </xdr:oneCellAnchor>
  <xdr:twoCellAnchor editAs="oneCell">
    <xdr:from>
      <xdr:col>21</xdr:col>
      <xdr:colOff>0</xdr:colOff>
      <xdr:row>42</xdr:row>
      <xdr:rowOff>0</xdr:rowOff>
    </xdr:from>
    <xdr:to>
      <xdr:col>25</xdr:col>
      <xdr:colOff>182045</xdr:colOff>
      <xdr:row>48</xdr:row>
      <xdr:rowOff>161925</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400925" y="6858000"/>
          <a:ext cx="1591745" cy="1190625"/>
        </a:xfrm>
        <a:prstGeom prst="rect">
          <a:avLst/>
        </a:prstGeom>
        <a:ln>
          <a:solidFill>
            <a:sysClr val="windowText" lastClr="000000"/>
          </a:solidFill>
        </a:ln>
      </xdr:spPr>
    </xdr:pic>
    <xdr:clientData/>
  </xdr:twoCellAnchor>
  <xdr:twoCellAnchor editAs="oneCell">
    <xdr:from>
      <xdr:col>27</xdr:col>
      <xdr:colOff>0</xdr:colOff>
      <xdr:row>42</xdr:row>
      <xdr:rowOff>0</xdr:rowOff>
    </xdr:from>
    <xdr:to>
      <xdr:col>31</xdr:col>
      <xdr:colOff>334852</xdr:colOff>
      <xdr:row>49</xdr:row>
      <xdr:rowOff>104775</xdr:rowOff>
    </xdr:to>
    <xdr:pic>
      <xdr:nvPicPr>
        <xdr:cNvPr id="18" name="図 1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515475" y="6858000"/>
          <a:ext cx="1744552" cy="1304925"/>
        </a:xfrm>
        <a:prstGeom prst="rect">
          <a:avLst/>
        </a:prstGeom>
        <a:ln>
          <a:solidFill>
            <a:sysClr val="windowText" lastClr="000000"/>
          </a:solidFill>
        </a:ln>
      </xdr:spPr>
    </xdr:pic>
    <xdr:clientData/>
  </xdr:twoCellAnchor>
  <xdr:twoCellAnchor>
    <xdr:from>
      <xdr:col>14</xdr:col>
      <xdr:colOff>0</xdr:colOff>
      <xdr:row>33</xdr:row>
      <xdr:rowOff>0</xdr:rowOff>
    </xdr:from>
    <xdr:to>
      <xdr:col>21</xdr:col>
      <xdr:colOff>0</xdr:colOff>
      <xdr:row>42</xdr:row>
      <xdr:rowOff>0</xdr:rowOff>
    </xdr:to>
    <xdr:cxnSp macro="">
      <xdr:nvCxnSpPr>
        <xdr:cNvPr id="21" name="直線矢印コネクタ 20"/>
        <xdr:cNvCxnSpPr/>
      </xdr:nvCxnSpPr>
      <xdr:spPr>
        <a:xfrm>
          <a:off x="4933950" y="5314950"/>
          <a:ext cx="2466975" cy="154305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34</xdr:row>
      <xdr:rowOff>0</xdr:rowOff>
    </xdr:from>
    <xdr:to>
      <xdr:col>27</xdr:col>
      <xdr:colOff>0</xdr:colOff>
      <xdr:row>42</xdr:row>
      <xdr:rowOff>0</xdr:rowOff>
    </xdr:to>
    <xdr:cxnSp macro="">
      <xdr:nvCxnSpPr>
        <xdr:cNvPr id="25" name="直線矢印コネクタ 24"/>
        <xdr:cNvCxnSpPr/>
      </xdr:nvCxnSpPr>
      <xdr:spPr>
        <a:xfrm>
          <a:off x="4933950" y="5486400"/>
          <a:ext cx="4581525" cy="13716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371475</xdr:colOff>
          <xdr:row>16</xdr:row>
          <xdr:rowOff>0</xdr:rowOff>
        </xdr:from>
        <xdr:to>
          <xdr:col>5</xdr:col>
          <xdr:colOff>371475</xdr:colOff>
          <xdr:row>18</xdr:row>
          <xdr:rowOff>0</xdr:rowOff>
        </xdr:to>
        <xdr:sp macro="" textlink="">
          <xdr:nvSpPr>
            <xdr:cNvPr id="8193" name="Button 1" hidden="1">
              <a:extLst>
                <a:ext uri="{63B3BB69-23CF-44E3-9099-C40C66FF867C}">
                  <a14:compatExt spid="_x0000_s819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ウェブ配布用データ作成</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9</xdr:col>
      <xdr:colOff>201385</xdr:colOff>
      <xdr:row>4</xdr:row>
      <xdr:rowOff>70757</xdr:rowOff>
    </xdr:from>
    <xdr:to>
      <xdr:col>12</xdr:col>
      <xdr:colOff>6009</xdr:colOff>
      <xdr:row>7</xdr:row>
      <xdr:rowOff>143914</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85456" y="789214"/>
          <a:ext cx="865982" cy="612000"/>
        </a:xfrm>
        <a:prstGeom prst="rect">
          <a:avLst/>
        </a:prstGeom>
      </xdr:spPr>
    </xdr:pic>
    <xdr:clientData/>
  </xdr:twoCellAnchor>
  <xdr:twoCellAnchor editAs="oneCell">
    <xdr:from>
      <xdr:col>27</xdr:col>
      <xdr:colOff>288472</xdr:colOff>
      <xdr:row>4</xdr:row>
      <xdr:rowOff>38099</xdr:rowOff>
    </xdr:from>
    <xdr:to>
      <xdr:col>30</xdr:col>
      <xdr:colOff>93097</xdr:colOff>
      <xdr:row>7</xdr:row>
      <xdr:rowOff>111256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40686" y="756556"/>
          <a:ext cx="865982" cy="612000"/>
        </a:xfrm>
        <a:prstGeom prst="rect">
          <a:avLst/>
        </a:prstGeom>
      </xdr:spPr>
    </xdr:pic>
    <xdr:clientData/>
  </xdr:twoCellAnchor>
  <xdr:twoCellAnchor editAs="oneCell">
    <xdr:from>
      <xdr:col>9</xdr:col>
      <xdr:colOff>125185</xdr:colOff>
      <xdr:row>20</xdr:row>
      <xdr:rowOff>54429</xdr:rowOff>
    </xdr:from>
    <xdr:to>
      <xdr:col>12</xdr:col>
      <xdr:colOff>44417</xdr:colOff>
      <xdr:row>23</xdr:row>
      <xdr:rowOff>127586</xdr:rowOff>
    </xdr:to>
    <xdr:pic>
      <xdr:nvPicPr>
        <xdr:cNvPr id="4" name="図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57" t="9783" r="10121" b="11954"/>
        <a:stretch/>
      </xdr:blipFill>
      <xdr:spPr>
        <a:xfrm>
          <a:off x="3309256" y="3646715"/>
          <a:ext cx="980590" cy="612000"/>
        </a:xfrm>
        <a:prstGeom prst="rect">
          <a:avLst/>
        </a:prstGeom>
      </xdr:spPr>
    </xdr:pic>
    <xdr:clientData/>
  </xdr:twoCellAnchor>
  <xdr:twoCellAnchor editAs="oneCell">
    <xdr:from>
      <xdr:col>27</xdr:col>
      <xdr:colOff>266699</xdr:colOff>
      <xdr:row>20</xdr:row>
      <xdr:rowOff>54428</xdr:rowOff>
    </xdr:from>
    <xdr:to>
      <xdr:col>30</xdr:col>
      <xdr:colOff>185932</xdr:colOff>
      <xdr:row>23</xdr:row>
      <xdr:rowOff>127585</xdr:rowOff>
    </xdr:to>
    <xdr:pic>
      <xdr:nvPicPr>
        <xdr:cNvPr id="14" name="図 1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57" t="9783" r="10121" b="11954"/>
        <a:stretch/>
      </xdr:blipFill>
      <xdr:spPr>
        <a:xfrm>
          <a:off x="9818913" y="3646714"/>
          <a:ext cx="980590" cy="612000"/>
        </a:xfrm>
        <a:prstGeom prst="rect">
          <a:avLst/>
        </a:prstGeom>
      </xdr:spPr>
    </xdr:pic>
    <xdr:clientData/>
  </xdr:twoCellAnchor>
  <xdr:twoCellAnchor editAs="oneCell">
    <xdr:from>
      <xdr:col>6</xdr:col>
      <xdr:colOff>283029</xdr:colOff>
      <xdr:row>36</xdr:row>
      <xdr:rowOff>54429</xdr:rowOff>
    </xdr:from>
    <xdr:to>
      <xdr:col>9</xdr:col>
      <xdr:colOff>202262</xdr:colOff>
      <xdr:row>39</xdr:row>
      <xdr:rowOff>127586</xdr:rowOff>
    </xdr:to>
    <xdr:pic>
      <xdr:nvPicPr>
        <xdr:cNvPr id="15" name="図 14"/>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57" t="9783" r="10121" b="11954"/>
        <a:stretch/>
      </xdr:blipFill>
      <xdr:spPr>
        <a:xfrm>
          <a:off x="2405743" y="6520543"/>
          <a:ext cx="980590" cy="612000"/>
        </a:xfrm>
        <a:prstGeom prst="rect">
          <a:avLst/>
        </a:prstGeom>
      </xdr:spPr>
    </xdr:pic>
    <xdr:clientData/>
  </xdr:twoCellAnchor>
  <xdr:twoCellAnchor editAs="oneCell">
    <xdr:from>
      <xdr:col>24</xdr:col>
      <xdr:colOff>261258</xdr:colOff>
      <xdr:row>36</xdr:row>
      <xdr:rowOff>48986</xdr:rowOff>
    </xdr:from>
    <xdr:to>
      <xdr:col>27</xdr:col>
      <xdr:colOff>180491</xdr:colOff>
      <xdr:row>39</xdr:row>
      <xdr:rowOff>122143</xdr:rowOff>
    </xdr:to>
    <xdr:pic>
      <xdr:nvPicPr>
        <xdr:cNvPr id="16" name="図 15"/>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57" t="9783" r="10121" b="11954"/>
        <a:stretch/>
      </xdr:blipFill>
      <xdr:spPr>
        <a:xfrm>
          <a:off x="8752115" y="6515100"/>
          <a:ext cx="980590" cy="612000"/>
        </a:xfrm>
        <a:prstGeom prst="rect">
          <a:avLst/>
        </a:prstGeom>
      </xdr:spPr>
    </xdr:pic>
    <xdr:clientData/>
  </xdr:twoCellAnchor>
  <xdr:twoCellAnchor editAs="oneCell">
    <xdr:from>
      <xdr:col>12</xdr:col>
      <xdr:colOff>130628</xdr:colOff>
      <xdr:row>36</xdr:row>
      <xdr:rowOff>70757</xdr:rowOff>
    </xdr:from>
    <xdr:to>
      <xdr:col>15</xdr:col>
      <xdr:colOff>66346</xdr:colOff>
      <xdr:row>39</xdr:row>
      <xdr:rowOff>143914</xdr:rowOff>
    </xdr:to>
    <xdr:pic>
      <xdr:nvPicPr>
        <xdr:cNvPr id="5" name="図 4"/>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1560" r="8865" b="9286"/>
        <a:stretch/>
      </xdr:blipFill>
      <xdr:spPr>
        <a:xfrm>
          <a:off x="4376057" y="6536871"/>
          <a:ext cx="997075" cy="612000"/>
        </a:xfrm>
        <a:prstGeom prst="rect">
          <a:avLst/>
        </a:prstGeom>
      </xdr:spPr>
    </xdr:pic>
    <xdr:clientData/>
  </xdr:twoCellAnchor>
  <xdr:twoCellAnchor editAs="oneCell">
    <xdr:from>
      <xdr:col>30</xdr:col>
      <xdr:colOff>239486</xdr:colOff>
      <xdr:row>36</xdr:row>
      <xdr:rowOff>48986</xdr:rowOff>
    </xdr:from>
    <xdr:to>
      <xdr:col>33</xdr:col>
      <xdr:colOff>175203</xdr:colOff>
      <xdr:row>39</xdr:row>
      <xdr:rowOff>122143</xdr:rowOff>
    </xdr:to>
    <xdr:pic>
      <xdr:nvPicPr>
        <xdr:cNvPr id="18" name="図 17"/>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1560" r="8865" b="9286"/>
        <a:stretch/>
      </xdr:blipFill>
      <xdr:spPr>
        <a:xfrm>
          <a:off x="10853057" y="6515100"/>
          <a:ext cx="997075" cy="612000"/>
        </a:xfrm>
        <a:prstGeom prst="rect">
          <a:avLst/>
        </a:prstGeom>
      </xdr:spPr>
    </xdr:pic>
    <xdr:clientData/>
  </xdr:twoCellAnchor>
  <xdr:oneCellAnchor>
    <xdr:from>
      <xdr:col>72</xdr:col>
      <xdr:colOff>266699</xdr:colOff>
      <xdr:row>20</xdr:row>
      <xdr:rowOff>54428</xdr:rowOff>
    </xdr:from>
    <xdr:ext cx="974310" cy="622676"/>
    <xdr:pic>
      <xdr:nvPicPr>
        <xdr:cNvPr id="10" name="図 9"/>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57" t="9783" r="10121" b="11954"/>
        <a:stretch/>
      </xdr:blipFill>
      <xdr:spPr>
        <a:xfrm>
          <a:off x="9762391" y="3717890"/>
          <a:ext cx="974310" cy="622676"/>
        </a:xfrm>
        <a:prstGeom prst="rect">
          <a:avLst/>
        </a:prstGeom>
      </xdr:spPr>
    </xdr:pic>
    <xdr:clientData/>
  </xdr:oneCellAnchor>
  <xdr:oneCellAnchor>
    <xdr:from>
      <xdr:col>69</xdr:col>
      <xdr:colOff>261258</xdr:colOff>
      <xdr:row>36</xdr:row>
      <xdr:rowOff>48986</xdr:rowOff>
    </xdr:from>
    <xdr:ext cx="974310" cy="622676"/>
    <xdr:pic>
      <xdr:nvPicPr>
        <xdr:cNvPr id="11" name="図 10"/>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57" t="9783" r="10121" b="11954"/>
        <a:stretch/>
      </xdr:blipFill>
      <xdr:spPr>
        <a:xfrm>
          <a:off x="8701873" y="6643217"/>
          <a:ext cx="974310" cy="622676"/>
        </a:xfrm>
        <a:prstGeom prst="rect">
          <a:avLst/>
        </a:prstGeom>
      </xdr:spPr>
    </xdr:pic>
    <xdr:clientData/>
  </xdr:oneCellAnchor>
  <xdr:oneCellAnchor>
    <xdr:from>
      <xdr:col>75</xdr:col>
      <xdr:colOff>239486</xdr:colOff>
      <xdr:row>36</xdr:row>
      <xdr:rowOff>48986</xdr:rowOff>
    </xdr:from>
    <xdr:ext cx="990794" cy="622676"/>
    <xdr:pic>
      <xdr:nvPicPr>
        <xdr:cNvPr id="12" name="図 11"/>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1560" r="8865" b="9286"/>
        <a:stretch/>
      </xdr:blipFill>
      <xdr:spPr>
        <a:xfrm>
          <a:off x="10790255" y="6643217"/>
          <a:ext cx="990794" cy="622676"/>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2700">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yachiyo.lg.jp/soshiki/48/4114.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I54"/>
  <sheetViews>
    <sheetView tabSelected="1" zoomScaleNormal="100" workbookViewId="0"/>
  </sheetViews>
  <sheetFormatPr defaultColWidth="2.5" defaultRowHeight="13.5"/>
  <cols>
    <col min="1" max="1" width="2.5" style="122" customWidth="1"/>
    <col min="2" max="36" width="2.5" style="122"/>
    <col min="37" max="61" width="2.5" style="122" hidden="1" customWidth="1"/>
    <col min="62" max="63" width="0" style="122" hidden="1" customWidth="1"/>
    <col min="64" max="16384" width="2.5" style="122"/>
  </cols>
  <sheetData>
    <row r="1" spans="1:31">
      <c r="A1" s="27" t="s">
        <v>0</v>
      </c>
    </row>
    <row r="2" spans="1:31" s="126" customFormat="1">
      <c r="C2" s="125"/>
    </row>
    <row r="3" spans="1:31">
      <c r="B3" s="27">
        <v>1</v>
      </c>
      <c r="C3" s="27" t="s">
        <v>1</v>
      </c>
    </row>
    <row r="4" spans="1:31">
      <c r="C4" s="122" t="s">
        <v>564</v>
      </c>
    </row>
    <row r="5" spans="1:31" s="184" customFormat="1">
      <c r="C5" s="184" t="s">
        <v>577</v>
      </c>
    </row>
    <row r="6" spans="1:31" s="184" customFormat="1">
      <c r="C6" s="123" t="s">
        <v>569</v>
      </c>
      <c r="AE6" s="123"/>
    </row>
    <row r="8" spans="1:31">
      <c r="B8" s="27">
        <v>2</v>
      </c>
      <c r="C8" s="27" t="s">
        <v>2</v>
      </c>
    </row>
    <row r="9" spans="1:31">
      <c r="C9" s="122" t="s">
        <v>566</v>
      </c>
    </row>
    <row r="10" spans="1:31">
      <c r="C10" s="122" t="s">
        <v>567</v>
      </c>
    </row>
    <row r="12" spans="1:31" s="184" customFormat="1">
      <c r="B12" s="27">
        <v>3</v>
      </c>
      <c r="C12" s="27" t="s">
        <v>3</v>
      </c>
    </row>
    <row r="13" spans="1:31">
      <c r="C13" s="122" t="s">
        <v>4</v>
      </c>
    </row>
    <row r="14" spans="1:31">
      <c r="C14" s="131"/>
      <c r="D14" s="132"/>
      <c r="E14" s="83" t="s">
        <v>299</v>
      </c>
      <c r="O14" s="129"/>
      <c r="P14" s="130"/>
      <c r="Q14" s="122" t="s">
        <v>300</v>
      </c>
    </row>
    <row r="15" spans="1:31">
      <c r="C15" s="122" t="s">
        <v>5</v>
      </c>
    </row>
    <row r="16" spans="1:31">
      <c r="C16" s="168" t="s">
        <v>568</v>
      </c>
    </row>
    <row r="18" spans="2:30">
      <c r="B18" s="27">
        <v>4</v>
      </c>
      <c r="C18" s="27" t="s">
        <v>354</v>
      </c>
    </row>
    <row r="19" spans="2:30" s="184" customFormat="1">
      <c r="C19" s="184" t="s">
        <v>751</v>
      </c>
    </row>
    <row r="20" spans="2:30" s="168" customFormat="1">
      <c r="C20" s="168" t="s">
        <v>621</v>
      </c>
      <c r="AD20" s="168" t="s">
        <v>410</v>
      </c>
    </row>
    <row r="21" spans="2:30">
      <c r="C21" s="127" t="s">
        <v>622</v>
      </c>
    </row>
    <row r="22" spans="2:30" s="184" customFormat="1">
      <c r="C22" s="184" t="s">
        <v>623</v>
      </c>
    </row>
    <row r="23" spans="2:30" s="184" customFormat="1"/>
    <row r="24" spans="2:30">
      <c r="B24" s="27">
        <v>5</v>
      </c>
      <c r="C24" s="27" t="s">
        <v>6</v>
      </c>
    </row>
    <row r="25" spans="2:30" s="184" customFormat="1">
      <c r="B25" s="27"/>
      <c r="C25" s="184" t="s">
        <v>409</v>
      </c>
    </row>
    <row r="26" spans="2:30">
      <c r="C26" s="122" t="s">
        <v>353</v>
      </c>
    </row>
    <row r="27" spans="2:30">
      <c r="C27" s="122" t="s">
        <v>747</v>
      </c>
    </row>
    <row r="29" spans="2:30">
      <c r="B29" s="27">
        <v>6</v>
      </c>
      <c r="C29" s="27" t="s">
        <v>7</v>
      </c>
    </row>
    <row r="30" spans="2:30">
      <c r="C30" s="122" t="s">
        <v>565</v>
      </c>
    </row>
    <row r="31" spans="2:30">
      <c r="C31" s="122" t="s">
        <v>8</v>
      </c>
      <c r="D31" s="228" t="s">
        <v>407</v>
      </c>
    </row>
    <row r="32" spans="2:30" s="169" customFormat="1">
      <c r="D32" s="169" t="s">
        <v>438</v>
      </c>
    </row>
    <row r="33" spans="2:9">
      <c r="C33" s="122" t="s">
        <v>8</v>
      </c>
      <c r="D33" s="128" t="s">
        <v>301</v>
      </c>
    </row>
    <row r="34" spans="2:9">
      <c r="C34" s="122" t="s">
        <v>8</v>
      </c>
      <c r="D34" s="122" t="s">
        <v>9</v>
      </c>
    </row>
    <row r="36" spans="2:9">
      <c r="B36" s="27">
        <v>7</v>
      </c>
      <c r="C36" s="27" t="s">
        <v>312</v>
      </c>
    </row>
    <row r="37" spans="2:9">
      <c r="C37" s="122" t="s">
        <v>318</v>
      </c>
    </row>
    <row r="38" spans="2:9">
      <c r="C38" s="122" t="s">
        <v>10</v>
      </c>
      <c r="F38" s="122" t="s">
        <v>11</v>
      </c>
      <c r="I38" s="122" t="s">
        <v>12</v>
      </c>
    </row>
    <row r="39" spans="2:9">
      <c r="F39" s="122" t="s">
        <v>13</v>
      </c>
      <c r="I39" s="1" t="s">
        <v>298</v>
      </c>
    </row>
    <row r="40" spans="2:9" s="184" customFormat="1">
      <c r="C40" s="184" t="s">
        <v>439</v>
      </c>
      <c r="I40"/>
    </row>
    <row r="41" spans="2:9">
      <c r="C41" s="188" t="s">
        <v>408</v>
      </c>
      <c r="F41" s="123"/>
    </row>
    <row r="42" spans="2:9" s="184" customFormat="1">
      <c r="C42" s="188"/>
      <c r="F42" s="123"/>
    </row>
    <row r="43" spans="2:9">
      <c r="B43" s="27">
        <v>8</v>
      </c>
      <c r="C43" s="27" t="s">
        <v>14</v>
      </c>
    </row>
    <row r="44" spans="2:9" s="184" customFormat="1">
      <c r="C44" s="184" t="s">
        <v>8</v>
      </c>
      <c r="D44" s="83" t="s">
        <v>548</v>
      </c>
      <c r="E44" s="83"/>
    </row>
    <row r="45" spans="2:9" s="184" customFormat="1">
      <c r="C45" s="184" t="s">
        <v>8</v>
      </c>
      <c r="D45" s="83" t="s">
        <v>549</v>
      </c>
      <c r="E45" s="83"/>
    </row>
    <row r="46" spans="2:9">
      <c r="C46" s="122" t="s">
        <v>8</v>
      </c>
      <c r="D46" s="83" t="s">
        <v>550</v>
      </c>
      <c r="E46" s="83"/>
    </row>
    <row r="47" spans="2:9">
      <c r="C47" s="122" t="s">
        <v>8</v>
      </c>
      <c r="D47" s="83" t="s">
        <v>551</v>
      </c>
      <c r="E47" s="83"/>
    </row>
    <row r="48" spans="2:9">
      <c r="C48" s="122" t="s">
        <v>8</v>
      </c>
      <c r="D48" s="83" t="s">
        <v>552</v>
      </c>
      <c r="E48" s="83"/>
    </row>
    <row r="49" spans="3:5">
      <c r="C49" s="122" t="s">
        <v>8</v>
      </c>
      <c r="D49" s="83" t="s">
        <v>553</v>
      </c>
      <c r="E49" s="83"/>
    </row>
    <row r="50" spans="3:5">
      <c r="C50" s="122" t="s">
        <v>8</v>
      </c>
      <c r="D50" s="83" t="s">
        <v>746</v>
      </c>
      <c r="E50" s="83"/>
    </row>
    <row r="51" spans="3:5" s="184" customFormat="1">
      <c r="C51" s="184" t="s">
        <v>8</v>
      </c>
      <c r="D51" s="83" t="s">
        <v>554</v>
      </c>
      <c r="E51" s="83"/>
    </row>
    <row r="52" spans="3:5" s="184" customFormat="1">
      <c r="D52" s="83"/>
      <c r="E52" s="83"/>
    </row>
    <row r="53" spans="3:5">
      <c r="D53" s="83"/>
      <c r="E53" s="83"/>
    </row>
    <row r="54" spans="3:5">
      <c r="D54" s="228"/>
    </row>
  </sheetData>
  <sheetProtection algorithmName="SHA-512" hashValue="za7oenHW/s9cZzGjnKVcTkpSHONAAkyur0FsLjuJPacHuMqHjuK7BAVnBWIJ0Rxln3j/xyW1j63MR1x9HJ4EWw==" saltValue="jleIbP/vobfeHXIKZmMRLg==" spinCount="100000" sheet="1" objects="1" scenarios="1"/>
  <phoneticPr fontId="25"/>
  <hyperlinks>
    <hyperlink ref="C6" r:id="rId1"/>
  </hyperlinks>
  <pageMargins left="0.25" right="0.25" top="0.75" bottom="0.75" header="0.3" footer="0.3"/>
  <pageSetup paperSize="9" orientation="portrait" r:id="rId2"/>
  <headerFooter>
    <oddFooter>&amp;R雨水流出抑制計算ver3.1
&amp;D</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9.9978637043366805E-2"/>
  </sheetPr>
  <dimension ref="A1:BK250"/>
  <sheetViews>
    <sheetView showZeros="0" zoomScale="115" zoomScaleNormal="115" zoomScaleSheetLayoutView="115" workbookViewId="0">
      <pane ySplit="1" topLeftCell="A2" activePane="bottomLeft" state="frozen"/>
      <selection pane="bottomLeft" activeCell="H6" sqref="H6:R6"/>
    </sheetView>
  </sheetViews>
  <sheetFormatPr defaultColWidth="4.625" defaultRowHeight="13.5" customHeight="1"/>
  <cols>
    <col min="1" max="20" width="4.625" style="1" customWidth="1"/>
    <col min="21" max="35" width="4.625" style="1"/>
    <col min="36" max="36" width="4.625" style="1" customWidth="1"/>
    <col min="37" max="63" width="4.625" style="1" hidden="1" customWidth="1"/>
    <col min="64" max="64" width="4.625" style="1" customWidth="1"/>
    <col min="65" max="65" width="4.625" style="1"/>
    <col min="66" max="68" width="4.625" style="1" customWidth="1"/>
    <col min="69" max="69" width="4.625" style="1"/>
    <col min="70" max="72" width="4.625" style="1" customWidth="1"/>
    <col min="73" max="16384" width="4.625" style="1"/>
  </cols>
  <sheetData>
    <row r="1" spans="1:62" ht="13.5" customHeight="1" thickBot="1">
      <c r="A1" s="328" t="s">
        <v>570</v>
      </c>
      <c r="B1" s="327"/>
      <c r="C1" s="327"/>
      <c r="D1" s="327"/>
      <c r="E1" s="327"/>
      <c r="F1" s="327"/>
      <c r="G1" s="327"/>
      <c r="H1" s="327"/>
      <c r="I1" s="327"/>
      <c r="J1" s="327"/>
      <c r="K1" s="327"/>
      <c r="L1" s="327"/>
      <c r="M1" s="327"/>
      <c r="N1" s="327"/>
      <c r="O1" s="327"/>
      <c r="P1" s="327"/>
      <c r="Q1" s="327"/>
      <c r="R1" s="327"/>
      <c r="S1" s="327"/>
      <c r="T1" s="182" t="s">
        <v>308</v>
      </c>
    </row>
    <row r="2" spans="1:62" ht="13.5" customHeight="1">
      <c r="A2" s="141" t="s">
        <v>634</v>
      </c>
      <c r="B2" s="142"/>
      <c r="C2" s="142"/>
      <c r="D2" s="142"/>
      <c r="E2" s="142"/>
      <c r="F2" s="142"/>
      <c r="G2" s="142"/>
      <c r="H2" s="142"/>
      <c r="I2" s="142"/>
      <c r="J2" s="142"/>
      <c r="K2" s="142"/>
      <c r="L2" s="142" t="s">
        <v>15</v>
      </c>
      <c r="M2" s="142"/>
      <c r="N2" s="142"/>
      <c r="O2" s="142"/>
      <c r="P2" s="142"/>
      <c r="Q2" s="142"/>
      <c r="R2" s="142"/>
      <c r="S2" s="143"/>
      <c r="T2" s="364"/>
      <c r="U2" s="364"/>
      <c r="AK2" s="323" t="s">
        <v>562</v>
      </c>
      <c r="AL2" s="323"/>
      <c r="AM2" s="323"/>
      <c r="AN2" s="323"/>
      <c r="AO2" s="323"/>
      <c r="AP2" s="324"/>
      <c r="AQ2" s="325"/>
      <c r="AR2" s="325"/>
      <c r="AS2" s="325"/>
      <c r="AT2" s="325"/>
      <c r="AU2" s="325"/>
      <c r="AV2" s="325"/>
      <c r="AW2" s="325"/>
      <c r="AX2" s="325"/>
      <c r="AY2" s="325"/>
      <c r="AZ2" s="325"/>
      <c r="BA2" s="326"/>
      <c r="BB2" s="326"/>
      <c r="BC2" s="326"/>
      <c r="BD2" s="326"/>
      <c r="BE2" s="326"/>
      <c r="BF2" s="326"/>
      <c r="BG2" s="326"/>
      <c r="BH2" s="326"/>
      <c r="BI2" s="326"/>
      <c r="BJ2" s="170"/>
    </row>
    <row r="3" spans="1:62" ht="13.5" customHeight="1">
      <c r="A3" s="144"/>
      <c r="B3" s="165"/>
      <c r="C3" s="165"/>
      <c r="D3" s="165"/>
      <c r="E3" s="165"/>
      <c r="F3" s="165"/>
      <c r="G3" s="165"/>
      <c r="H3" s="165"/>
      <c r="I3" s="165"/>
      <c r="J3" s="165"/>
      <c r="K3" s="165"/>
      <c r="L3" s="145"/>
      <c r="M3" s="165" t="s">
        <v>17</v>
      </c>
      <c r="N3" s="165"/>
      <c r="O3" s="165"/>
      <c r="P3" s="165"/>
      <c r="Q3" s="165"/>
      <c r="R3" s="165"/>
      <c r="S3" s="146"/>
      <c r="T3" s="5"/>
      <c r="U3" s="5"/>
      <c r="AK3" s="325"/>
      <c r="AL3" s="325"/>
      <c r="AM3" s="325"/>
      <c r="AN3" s="325"/>
      <c r="AO3" s="325"/>
      <c r="AP3" s="325"/>
      <c r="AQ3" s="325"/>
      <c r="AR3" s="325"/>
      <c r="AS3" s="325"/>
      <c r="AT3" s="325"/>
      <c r="AU3" s="325"/>
      <c r="AV3" s="325"/>
      <c r="AW3" s="325"/>
      <c r="AX3" s="325"/>
      <c r="AY3" s="325"/>
      <c r="AZ3" s="325"/>
      <c r="BA3" s="326"/>
      <c r="BB3" s="326"/>
      <c r="BC3" s="326"/>
      <c r="BD3" s="326"/>
      <c r="BE3" s="326"/>
      <c r="BF3" s="326"/>
      <c r="BG3" s="326"/>
      <c r="BH3" s="326"/>
      <c r="BI3" s="326"/>
      <c r="BJ3" s="170"/>
    </row>
    <row r="4" spans="1:62" ht="13.5" customHeight="1">
      <c r="A4" s="144" t="s">
        <v>16</v>
      </c>
      <c r="B4" s="165"/>
      <c r="C4" s="165"/>
      <c r="D4" s="165"/>
      <c r="E4" s="165"/>
      <c r="F4" s="165"/>
      <c r="G4" s="165"/>
      <c r="H4" s="165"/>
      <c r="I4" s="165"/>
      <c r="J4" s="165"/>
      <c r="K4" s="165"/>
      <c r="L4" s="148"/>
      <c r="M4" s="165" t="s">
        <v>19</v>
      </c>
      <c r="N4" s="165"/>
      <c r="O4" s="165"/>
      <c r="P4" s="165"/>
      <c r="Q4" s="165"/>
      <c r="R4" s="165"/>
      <c r="S4" s="146"/>
      <c r="T4" s="5"/>
      <c r="U4" s="5"/>
      <c r="AK4" s="182"/>
      <c r="AL4" s="182"/>
      <c r="AM4" s="182"/>
    </row>
    <row r="5" spans="1:62" ht="13.5" customHeight="1">
      <c r="A5" s="147"/>
      <c r="B5" s="165">
        <v>1</v>
      </c>
      <c r="C5" s="165" t="s">
        <v>18</v>
      </c>
      <c r="D5" s="165"/>
      <c r="E5" s="165"/>
      <c r="F5" s="165"/>
      <c r="G5" s="165"/>
      <c r="H5" s="165"/>
      <c r="I5" s="165"/>
      <c r="J5" s="165"/>
      <c r="K5" s="165"/>
      <c r="L5" s="165"/>
      <c r="M5" s="165"/>
      <c r="N5" s="165"/>
      <c r="O5" s="165"/>
      <c r="P5" s="165"/>
      <c r="Q5" s="165"/>
      <c r="R5" s="165"/>
      <c r="S5" s="146"/>
      <c r="T5" s="5"/>
      <c r="U5" s="5"/>
      <c r="AK5" s="182"/>
      <c r="AL5" s="182"/>
      <c r="AM5" s="182"/>
    </row>
    <row r="6" spans="1:62" ht="13.5" customHeight="1">
      <c r="A6" s="147"/>
      <c r="B6" s="165"/>
      <c r="C6" s="373" t="s">
        <v>760</v>
      </c>
      <c r="D6" s="165" t="s">
        <v>762</v>
      </c>
      <c r="E6" s="165"/>
      <c r="F6" s="151"/>
      <c r="G6" s="151"/>
      <c r="H6" s="648"/>
      <c r="I6" s="648"/>
      <c r="J6" s="648"/>
      <c r="K6" s="648"/>
      <c r="L6" s="648"/>
      <c r="M6" s="648"/>
      <c r="N6" s="648"/>
      <c r="O6" s="648"/>
      <c r="P6" s="648"/>
      <c r="Q6" s="648"/>
      <c r="R6" s="648"/>
      <c r="S6" s="146"/>
      <c r="T6" s="1" t="s">
        <v>443</v>
      </c>
      <c r="U6" s="5" t="s">
        <v>761</v>
      </c>
      <c r="AK6" s="182"/>
      <c r="AL6" s="182"/>
      <c r="AM6" s="182"/>
    </row>
    <row r="7" spans="1:62" ht="13.5" customHeight="1">
      <c r="A7" s="147"/>
      <c r="B7" s="165"/>
      <c r="C7" s="339" t="s">
        <v>444</v>
      </c>
      <c r="D7" s="165" t="s">
        <v>20</v>
      </c>
      <c r="E7" s="165"/>
      <c r="F7" s="165"/>
      <c r="G7" s="165"/>
      <c r="H7" s="165"/>
      <c r="I7" s="165"/>
      <c r="J7" s="165"/>
      <c r="K7" s="165"/>
      <c r="L7" s="151" t="s">
        <v>21</v>
      </c>
      <c r="M7" s="664">
        <f>IF($G$15=0,0,IF(ROUNDUP(L15/G15,2)&gt;0.9,0.9,ROUNDUP(L15/G15,2)))</f>
        <v>0</v>
      </c>
      <c r="N7" s="664"/>
      <c r="O7" s="165" t="s">
        <v>22</v>
      </c>
      <c r="P7" s="165"/>
      <c r="Q7" s="165"/>
      <c r="R7" s="165"/>
      <c r="S7" s="146"/>
      <c r="T7" s="1" t="s">
        <v>445</v>
      </c>
      <c r="U7" s="1" t="s">
        <v>368</v>
      </c>
      <c r="AK7" s="182"/>
      <c r="AL7" s="182"/>
      <c r="AM7" s="182"/>
    </row>
    <row r="8" spans="1:62" ht="13.5" customHeight="1">
      <c r="A8" s="147"/>
      <c r="B8" s="165"/>
      <c r="C8" s="339"/>
      <c r="D8" s="665" t="s">
        <v>23</v>
      </c>
      <c r="E8" s="666"/>
      <c r="F8" s="667"/>
      <c r="G8" s="665" t="s">
        <v>24</v>
      </c>
      <c r="H8" s="666"/>
      <c r="I8" s="667"/>
      <c r="J8" s="665" t="s">
        <v>25</v>
      </c>
      <c r="K8" s="666"/>
      <c r="L8" s="665" t="s">
        <v>26</v>
      </c>
      <c r="M8" s="667"/>
      <c r="N8" s="665" t="s">
        <v>27</v>
      </c>
      <c r="O8" s="666"/>
      <c r="P8" s="666"/>
      <c r="Q8" s="666"/>
      <c r="R8" s="667"/>
      <c r="S8" s="146"/>
      <c r="U8" s="1" t="s">
        <v>320</v>
      </c>
      <c r="AK8" s="182"/>
      <c r="AL8" s="182"/>
      <c r="AM8" s="182"/>
    </row>
    <row r="9" spans="1:62" ht="13.5" customHeight="1">
      <c r="A9" s="147"/>
      <c r="B9" s="165"/>
      <c r="C9" s="339"/>
      <c r="D9" s="624"/>
      <c r="E9" s="625"/>
      <c r="F9" s="626"/>
      <c r="G9" s="627"/>
      <c r="H9" s="628"/>
      <c r="I9" s="629"/>
      <c r="J9" s="630" t="str">
        <f>IF(D9="","",VLOOKUP(D9,$AL$12:$AN$19,2,FALSE))</f>
        <v/>
      </c>
      <c r="K9" s="631"/>
      <c r="L9" s="668" t="str">
        <f t="shared" ref="L9:L14" si="0">IF(D9="","",ROUND(G9*J9,2))</f>
        <v/>
      </c>
      <c r="M9" s="669"/>
      <c r="N9" s="634"/>
      <c r="O9" s="635"/>
      <c r="P9" s="635"/>
      <c r="Q9" s="635"/>
      <c r="R9" s="636"/>
      <c r="S9" s="146"/>
      <c r="U9" s="12" t="s">
        <v>346</v>
      </c>
      <c r="AK9" s="182"/>
      <c r="AL9" s="182"/>
      <c r="AM9" s="182"/>
    </row>
    <row r="10" spans="1:62" ht="13.5" customHeight="1">
      <c r="A10" s="147"/>
      <c r="B10" s="165"/>
      <c r="C10" s="339"/>
      <c r="D10" s="637"/>
      <c r="E10" s="638"/>
      <c r="F10" s="639"/>
      <c r="G10" s="640"/>
      <c r="H10" s="641"/>
      <c r="I10" s="642"/>
      <c r="J10" s="643" t="str">
        <f t="shared" ref="J10:J14" si="1">IF(D10="","",VLOOKUP(D10,$AL$12:$AN$19,2,FALSE))</f>
        <v/>
      </c>
      <c r="K10" s="644"/>
      <c r="L10" s="650" t="str">
        <f t="shared" si="0"/>
        <v/>
      </c>
      <c r="M10" s="651"/>
      <c r="N10" s="647"/>
      <c r="O10" s="648"/>
      <c r="P10" s="648"/>
      <c r="Q10" s="648"/>
      <c r="R10" s="649"/>
      <c r="S10" s="146"/>
      <c r="T10" s="12"/>
      <c r="U10" s="1" t="s">
        <v>323</v>
      </c>
      <c r="AL10" s="1" t="s">
        <v>617</v>
      </c>
      <c r="AP10" s="1" t="s">
        <v>618</v>
      </c>
    </row>
    <row r="11" spans="1:62" ht="13.5" customHeight="1">
      <c r="A11" s="147"/>
      <c r="B11" s="165"/>
      <c r="C11" s="339"/>
      <c r="D11" s="637"/>
      <c r="E11" s="638"/>
      <c r="F11" s="639"/>
      <c r="G11" s="640"/>
      <c r="H11" s="641"/>
      <c r="I11" s="642"/>
      <c r="J11" s="643" t="str">
        <f t="shared" si="1"/>
        <v/>
      </c>
      <c r="K11" s="644"/>
      <c r="L11" s="650" t="str">
        <f t="shared" si="0"/>
        <v/>
      </c>
      <c r="M11" s="651"/>
      <c r="N11" s="647"/>
      <c r="O11" s="648"/>
      <c r="P11" s="648"/>
      <c r="Q11" s="648"/>
      <c r="R11" s="649"/>
      <c r="S11" s="146"/>
      <c r="U11" s="1" t="s">
        <v>493</v>
      </c>
      <c r="AK11" s="107"/>
      <c r="AL11" s="11" t="s">
        <v>227</v>
      </c>
      <c r="AM11" s="11" t="s">
        <v>108</v>
      </c>
      <c r="AN11" s="20"/>
      <c r="AP11" s="11" t="s">
        <v>227</v>
      </c>
      <c r="AQ11" s="11" t="s">
        <v>108</v>
      </c>
      <c r="AR11" s="20"/>
    </row>
    <row r="12" spans="1:62" ht="13.5" customHeight="1">
      <c r="A12" s="147"/>
      <c r="B12" s="165"/>
      <c r="C12" s="339"/>
      <c r="D12" s="637"/>
      <c r="E12" s="638"/>
      <c r="F12" s="639"/>
      <c r="G12" s="640"/>
      <c r="H12" s="641"/>
      <c r="I12" s="642"/>
      <c r="J12" s="643" t="str">
        <f t="shared" si="1"/>
        <v/>
      </c>
      <c r="K12" s="644"/>
      <c r="L12" s="650" t="str">
        <f t="shared" si="0"/>
        <v/>
      </c>
      <c r="M12" s="651"/>
      <c r="N12" s="661"/>
      <c r="O12" s="662"/>
      <c r="P12" s="662"/>
      <c r="Q12" s="662"/>
      <c r="R12" s="663"/>
      <c r="S12" s="146"/>
      <c r="U12" s="1" t="s">
        <v>492</v>
      </c>
      <c r="AL12" s="11" t="s">
        <v>226</v>
      </c>
      <c r="AM12" s="301">
        <v>0.85</v>
      </c>
      <c r="AN12" s="302">
        <v>1</v>
      </c>
      <c r="AP12" s="11" t="str">
        <f>AL12</f>
        <v>道路</v>
      </c>
      <c r="AQ12" s="301">
        <f>IF(AM12-0.2&gt;0,AM12-0.2,0)</f>
        <v>0.64999999999999991</v>
      </c>
      <c r="AR12" s="301">
        <f>IF(AN12-0.2&gt;0,AN12-0.2,0)</f>
        <v>0.8</v>
      </c>
    </row>
    <row r="13" spans="1:62" ht="13.5" customHeight="1">
      <c r="A13" s="147"/>
      <c r="B13" s="165"/>
      <c r="C13" s="339"/>
      <c r="D13" s="637"/>
      <c r="E13" s="638"/>
      <c r="F13" s="639"/>
      <c r="G13" s="640"/>
      <c r="H13" s="641"/>
      <c r="I13" s="642"/>
      <c r="J13" s="643" t="str">
        <f t="shared" si="1"/>
        <v/>
      </c>
      <c r="K13" s="644"/>
      <c r="L13" s="650" t="str">
        <f t="shared" si="0"/>
        <v/>
      </c>
      <c r="M13" s="651"/>
      <c r="N13" s="661"/>
      <c r="O13" s="662"/>
      <c r="P13" s="662"/>
      <c r="Q13" s="662"/>
      <c r="R13" s="663"/>
      <c r="S13" s="146"/>
      <c r="AL13" s="11" t="s">
        <v>28</v>
      </c>
      <c r="AM13" s="301">
        <v>0.9</v>
      </c>
      <c r="AN13" s="302">
        <v>1</v>
      </c>
      <c r="AP13" s="11" t="str">
        <f t="shared" ref="AP13:AP19" si="2">AL13</f>
        <v>屋根</v>
      </c>
      <c r="AQ13" s="301">
        <f t="shared" ref="AQ13:AQ19" si="3">IF(AM13-0.2&gt;0,AM13-0.2,0)</f>
        <v>0.7</v>
      </c>
      <c r="AR13" s="301">
        <f t="shared" ref="AR13:AR19" si="4">IF(AN13-0.2&gt;0,AN13-0.2,0)</f>
        <v>0.8</v>
      </c>
    </row>
    <row r="14" spans="1:62" ht="13.5" customHeight="1">
      <c r="A14" s="147"/>
      <c r="B14" s="165"/>
      <c r="C14" s="339"/>
      <c r="D14" s="637"/>
      <c r="E14" s="638"/>
      <c r="F14" s="639"/>
      <c r="G14" s="640"/>
      <c r="H14" s="641"/>
      <c r="I14" s="642"/>
      <c r="J14" s="643" t="str">
        <f t="shared" si="1"/>
        <v/>
      </c>
      <c r="K14" s="644"/>
      <c r="L14" s="650" t="str">
        <f t="shared" si="0"/>
        <v/>
      </c>
      <c r="M14" s="651"/>
      <c r="N14" s="647"/>
      <c r="O14" s="648"/>
      <c r="P14" s="648"/>
      <c r="Q14" s="648"/>
      <c r="R14" s="649"/>
      <c r="S14" s="146"/>
      <c r="AL14" s="11" t="s">
        <v>29</v>
      </c>
      <c r="AM14" s="301">
        <v>0.8</v>
      </c>
      <c r="AN14" s="302">
        <v>1</v>
      </c>
      <c r="AP14" s="11" t="str">
        <f t="shared" si="2"/>
        <v>その他の不透面</v>
      </c>
      <c r="AQ14" s="301">
        <f t="shared" si="3"/>
        <v>0.60000000000000009</v>
      </c>
      <c r="AR14" s="301">
        <f t="shared" si="4"/>
        <v>0.8</v>
      </c>
    </row>
    <row r="15" spans="1:62" ht="13.5" customHeight="1">
      <c r="A15" s="147"/>
      <c r="B15" s="165"/>
      <c r="C15" s="339"/>
      <c r="D15" s="613" t="s">
        <v>30</v>
      </c>
      <c r="E15" s="614"/>
      <c r="F15" s="615"/>
      <c r="G15" s="616">
        <f>ROUND(SUM(G9:I14),1)</f>
        <v>0</v>
      </c>
      <c r="H15" s="617"/>
      <c r="I15" s="617"/>
      <c r="J15" s="174"/>
      <c r="K15" s="135"/>
      <c r="L15" s="656">
        <f>SUM(L9:M14)</f>
        <v>0</v>
      </c>
      <c r="M15" s="657"/>
      <c r="N15" s="658"/>
      <c r="O15" s="659"/>
      <c r="P15" s="659"/>
      <c r="Q15" s="659"/>
      <c r="R15" s="660"/>
      <c r="S15" s="146"/>
      <c r="AL15" s="11" t="s">
        <v>255</v>
      </c>
      <c r="AM15" s="301">
        <v>1</v>
      </c>
      <c r="AN15" s="302">
        <v>1</v>
      </c>
      <c r="AP15" s="11" t="str">
        <f t="shared" si="2"/>
        <v>水面</v>
      </c>
      <c r="AQ15" s="301">
        <f t="shared" si="3"/>
        <v>0.8</v>
      </c>
      <c r="AR15" s="301">
        <f t="shared" si="4"/>
        <v>0.8</v>
      </c>
    </row>
    <row r="16" spans="1:62" ht="13.5" customHeight="1">
      <c r="A16" s="147"/>
      <c r="B16" s="165"/>
      <c r="C16" s="339" t="s">
        <v>355</v>
      </c>
      <c r="D16" s="165" t="s">
        <v>31</v>
      </c>
      <c r="E16" s="165"/>
      <c r="F16" s="165"/>
      <c r="G16" s="165"/>
      <c r="H16" s="165"/>
      <c r="I16" s="165"/>
      <c r="J16" s="165"/>
      <c r="K16" s="165"/>
      <c r="L16" s="151" t="s">
        <v>21</v>
      </c>
      <c r="M16" s="652">
        <f>IF(G21&gt;0,ROUNDUP(L21/G21,2),0)</f>
        <v>0</v>
      </c>
      <c r="N16" s="652"/>
      <c r="O16" s="165" t="s">
        <v>22</v>
      </c>
      <c r="P16" s="151"/>
      <c r="Q16" s="165"/>
      <c r="R16" s="165"/>
      <c r="S16" s="146"/>
      <c r="T16" s="1" t="s">
        <v>361</v>
      </c>
      <c r="U16" s="1" t="s">
        <v>367</v>
      </c>
      <c r="AL16" s="11" t="s">
        <v>216</v>
      </c>
      <c r="AM16" s="301">
        <v>0.2</v>
      </c>
      <c r="AN16" s="302">
        <v>0.6</v>
      </c>
      <c r="AP16" s="11" t="str">
        <f t="shared" si="2"/>
        <v>間地</v>
      </c>
      <c r="AQ16" s="301">
        <f t="shared" si="3"/>
        <v>0</v>
      </c>
      <c r="AR16" s="301">
        <f t="shared" si="4"/>
        <v>0.39999999999999997</v>
      </c>
    </row>
    <row r="17" spans="1:58" ht="13.5" customHeight="1">
      <c r="A17" s="147"/>
      <c r="B17" s="165"/>
      <c r="C17" s="165"/>
      <c r="D17" s="621" t="s">
        <v>23</v>
      </c>
      <c r="E17" s="622"/>
      <c r="F17" s="623"/>
      <c r="G17" s="653" t="s">
        <v>32</v>
      </c>
      <c r="H17" s="654"/>
      <c r="I17" s="655"/>
      <c r="J17" s="621" t="s">
        <v>25</v>
      </c>
      <c r="K17" s="623"/>
      <c r="L17" s="621" t="s">
        <v>26</v>
      </c>
      <c r="M17" s="623"/>
      <c r="N17" s="621" t="s">
        <v>27</v>
      </c>
      <c r="O17" s="622"/>
      <c r="P17" s="622"/>
      <c r="Q17" s="622"/>
      <c r="R17" s="623"/>
      <c r="S17" s="146"/>
      <c r="U17" s="1" t="s">
        <v>324</v>
      </c>
      <c r="AL17" s="11" t="s">
        <v>263</v>
      </c>
      <c r="AM17" s="301">
        <v>0.15</v>
      </c>
      <c r="AN17" s="302">
        <v>0.6</v>
      </c>
      <c r="AP17" s="11" t="str">
        <f t="shared" si="2"/>
        <v>公園（緑地）</v>
      </c>
      <c r="AQ17" s="301">
        <f t="shared" si="3"/>
        <v>0</v>
      </c>
      <c r="AR17" s="301">
        <f t="shared" si="4"/>
        <v>0.39999999999999997</v>
      </c>
    </row>
    <row r="18" spans="1:58" ht="13.5" customHeight="1">
      <c r="A18" s="147"/>
      <c r="B18" s="165"/>
      <c r="C18" s="165"/>
      <c r="D18" s="624"/>
      <c r="E18" s="625"/>
      <c r="F18" s="626"/>
      <c r="G18" s="627"/>
      <c r="H18" s="628"/>
      <c r="I18" s="629"/>
      <c r="J18" s="630" t="str">
        <f>IF(D18="","",VLOOKUP(D18,$AP$12:$AR$19,2,FALSE))</f>
        <v/>
      </c>
      <c r="K18" s="631"/>
      <c r="L18" s="632" t="str">
        <f>IF(D18="","",ROUND(G18*J18,2))</f>
        <v/>
      </c>
      <c r="M18" s="633"/>
      <c r="N18" s="634"/>
      <c r="O18" s="635"/>
      <c r="P18" s="635"/>
      <c r="Q18" s="635"/>
      <c r="R18" s="636"/>
      <c r="S18" s="146"/>
      <c r="U18" s="1" t="s">
        <v>325</v>
      </c>
      <c r="AL18" s="20" t="s">
        <v>512</v>
      </c>
      <c r="AM18" s="302">
        <v>0.3</v>
      </c>
      <c r="AN18" s="302">
        <v>0.6</v>
      </c>
      <c r="AP18" s="11" t="str">
        <f t="shared" si="2"/>
        <v>勾配の緩い山地</v>
      </c>
      <c r="AQ18" s="301">
        <f t="shared" si="3"/>
        <v>9.9999999999999978E-2</v>
      </c>
      <c r="AR18" s="301">
        <f t="shared" si="4"/>
        <v>0.39999999999999997</v>
      </c>
    </row>
    <row r="19" spans="1:58" ht="13.5" customHeight="1">
      <c r="A19" s="147"/>
      <c r="B19" s="165"/>
      <c r="C19" s="165"/>
      <c r="D19" s="637"/>
      <c r="E19" s="638"/>
      <c r="F19" s="639"/>
      <c r="G19" s="640"/>
      <c r="H19" s="641"/>
      <c r="I19" s="642"/>
      <c r="J19" s="643" t="str">
        <f t="shared" ref="J19:J20" si="5">IF(D19="","",VLOOKUP(D19,$AP$12:$AR$19,2,FALSE))</f>
        <v/>
      </c>
      <c r="K19" s="644"/>
      <c r="L19" s="645" t="str">
        <f>IF(D19="","",ROUND(G19*J19,2))</f>
        <v/>
      </c>
      <c r="M19" s="646"/>
      <c r="N19" s="647"/>
      <c r="O19" s="648"/>
      <c r="P19" s="648"/>
      <c r="Q19" s="648"/>
      <c r="R19" s="649"/>
      <c r="S19" s="146"/>
      <c r="U19" s="1" t="s">
        <v>326</v>
      </c>
      <c r="AL19" s="20" t="s">
        <v>513</v>
      </c>
      <c r="AM19" s="302">
        <v>0.5</v>
      </c>
      <c r="AN19" s="302">
        <v>0.6</v>
      </c>
      <c r="AP19" s="11" t="str">
        <f t="shared" si="2"/>
        <v>勾配の急な山地</v>
      </c>
      <c r="AQ19" s="301">
        <f t="shared" si="3"/>
        <v>0.3</v>
      </c>
      <c r="AR19" s="301">
        <f t="shared" si="4"/>
        <v>0.39999999999999997</v>
      </c>
    </row>
    <row r="20" spans="1:58" ht="13.5" customHeight="1">
      <c r="A20" s="147"/>
      <c r="B20" s="165"/>
      <c r="C20" s="165"/>
      <c r="D20" s="600"/>
      <c r="E20" s="601"/>
      <c r="F20" s="602"/>
      <c r="G20" s="603"/>
      <c r="H20" s="604"/>
      <c r="I20" s="605"/>
      <c r="J20" s="606" t="str">
        <f t="shared" si="5"/>
        <v/>
      </c>
      <c r="K20" s="607"/>
      <c r="L20" s="608" t="str">
        <f>IF(D20="","",ROUND(G20*J20,2))</f>
        <v/>
      </c>
      <c r="M20" s="609"/>
      <c r="N20" s="610"/>
      <c r="O20" s="611"/>
      <c r="P20" s="611"/>
      <c r="Q20" s="611"/>
      <c r="R20" s="612"/>
      <c r="S20" s="146"/>
      <c r="T20" s="180"/>
      <c r="U20" s="180" t="s">
        <v>33</v>
      </c>
    </row>
    <row r="21" spans="1:58" ht="13.5" customHeight="1">
      <c r="A21" s="147"/>
      <c r="B21" s="165"/>
      <c r="C21" s="165"/>
      <c r="D21" s="613" t="s">
        <v>30</v>
      </c>
      <c r="E21" s="614"/>
      <c r="F21" s="615"/>
      <c r="G21" s="616">
        <f>SUM(G18:I20)</f>
        <v>0</v>
      </c>
      <c r="H21" s="617"/>
      <c r="I21" s="618"/>
      <c r="J21" s="613"/>
      <c r="K21" s="615"/>
      <c r="L21" s="619">
        <f>SUM(L18:M20)</f>
        <v>0</v>
      </c>
      <c r="M21" s="620"/>
      <c r="N21" s="621"/>
      <c r="O21" s="622"/>
      <c r="P21" s="622"/>
      <c r="Q21" s="622"/>
      <c r="R21" s="623"/>
      <c r="S21" s="146"/>
      <c r="T21" s="181"/>
      <c r="U21" s="181" t="s">
        <v>34</v>
      </c>
      <c r="AL21" s="9"/>
      <c r="AM21" s="10"/>
      <c r="AQ21" s="327"/>
      <c r="AR21" s="327"/>
      <c r="AS21" s="327"/>
      <c r="AT21" s="327"/>
      <c r="AU21" s="327"/>
      <c r="AV21" s="327"/>
      <c r="AW21" s="327"/>
      <c r="AX21" s="327"/>
      <c r="AY21" s="327"/>
      <c r="AZ21" s="327"/>
      <c r="BA21" s="327"/>
      <c r="BB21" s="327"/>
      <c r="BC21" s="327"/>
      <c r="BD21" s="327"/>
      <c r="BE21" s="327"/>
      <c r="BF21" s="327"/>
    </row>
    <row r="22" spans="1:58" ht="13.5" customHeight="1">
      <c r="A22" s="147"/>
      <c r="B22" s="165"/>
      <c r="C22" s="165"/>
      <c r="D22" s="165"/>
      <c r="E22" s="165"/>
      <c r="F22" s="165"/>
      <c r="G22" s="165"/>
      <c r="H22" s="165"/>
      <c r="I22" s="165"/>
      <c r="J22" s="165"/>
      <c r="K22" s="165"/>
      <c r="L22" s="165"/>
      <c r="M22" s="165"/>
      <c r="N22" s="165"/>
      <c r="O22" s="165"/>
      <c r="P22" s="165"/>
      <c r="Q22" s="165"/>
      <c r="R22" s="165"/>
      <c r="S22" s="146"/>
      <c r="T22" s="181"/>
      <c r="U22" s="181" t="s">
        <v>36</v>
      </c>
      <c r="AL22" s="209" t="s">
        <v>264</v>
      </c>
      <c r="AM22" s="210">
        <v>0.25</v>
      </c>
      <c r="AQ22" s="327"/>
      <c r="AR22" s="327"/>
      <c r="AS22" s="327"/>
      <c r="AT22" s="327"/>
      <c r="AU22" s="327"/>
      <c r="AV22" s="327" t="s">
        <v>607</v>
      </c>
      <c r="AW22" s="327"/>
      <c r="AX22" s="327"/>
      <c r="AY22" s="327"/>
      <c r="AZ22" s="327"/>
      <c r="BA22" s="327"/>
      <c r="BB22" s="327"/>
      <c r="BC22" s="327"/>
      <c r="BD22" s="327"/>
      <c r="BE22" s="327"/>
      <c r="BF22" s="327"/>
    </row>
    <row r="23" spans="1:58" ht="13.5" customHeight="1">
      <c r="A23" s="147"/>
      <c r="B23" s="165">
        <v>2</v>
      </c>
      <c r="C23" s="167" t="s">
        <v>44</v>
      </c>
      <c r="D23" s="165"/>
      <c r="E23" s="165"/>
      <c r="F23" s="165"/>
      <c r="G23" s="165"/>
      <c r="H23" s="165"/>
      <c r="I23" s="165"/>
      <c r="J23" s="165"/>
      <c r="K23" s="165"/>
      <c r="L23" s="165"/>
      <c r="M23" s="165"/>
      <c r="N23" s="165"/>
      <c r="O23" s="165"/>
      <c r="P23" s="165"/>
      <c r="Q23" s="165"/>
      <c r="R23" s="165"/>
      <c r="S23" s="146"/>
      <c r="AK23" s="107"/>
      <c r="AL23" s="209" t="s">
        <v>265</v>
      </c>
      <c r="AM23" s="210">
        <v>0.3</v>
      </c>
      <c r="AQ23" s="327"/>
      <c r="AR23" s="327"/>
      <c r="AS23" s="327"/>
      <c r="AT23" s="327"/>
      <c r="AU23" s="327"/>
      <c r="AV23" s="327"/>
      <c r="AW23" s="327"/>
      <c r="AX23" s="327"/>
      <c r="AY23" s="327"/>
      <c r="AZ23" s="327"/>
      <c r="BA23" s="327"/>
      <c r="BB23" s="327"/>
      <c r="BC23" s="327"/>
      <c r="BD23" s="327"/>
      <c r="BE23" s="327"/>
      <c r="BF23" s="327"/>
    </row>
    <row r="24" spans="1:58" ht="13.5" customHeight="1">
      <c r="A24" s="147"/>
      <c r="B24" s="165"/>
      <c r="C24" s="339" t="s">
        <v>356</v>
      </c>
      <c r="D24" s="165" t="s">
        <v>404</v>
      </c>
      <c r="E24" s="165"/>
      <c r="F24" s="165"/>
      <c r="G24" s="165"/>
      <c r="H24" s="165"/>
      <c r="I24" s="165"/>
      <c r="J24" s="151" t="s">
        <v>45</v>
      </c>
      <c r="K24" s="579">
        <v>1</v>
      </c>
      <c r="L24" s="579"/>
      <c r="M24" s="579"/>
      <c r="N24" s="165"/>
      <c r="O24" s="165"/>
      <c r="P24" s="166"/>
      <c r="Q24" s="165"/>
      <c r="R24" s="165"/>
      <c r="S24" s="146"/>
      <c r="T24" s="1" t="s">
        <v>319</v>
      </c>
      <c r="U24" s="1" t="s">
        <v>392</v>
      </c>
      <c r="AL24" s="209" t="s">
        <v>266</v>
      </c>
      <c r="AM24" s="210">
        <v>0.35</v>
      </c>
      <c r="AQ24" s="327"/>
      <c r="AR24" s="327"/>
      <c r="AS24" s="327"/>
      <c r="AT24" s="327"/>
      <c r="AU24" s="327"/>
      <c r="AV24" s="327"/>
      <c r="AW24" s="327"/>
      <c r="AX24" s="327"/>
      <c r="AY24" s="327"/>
      <c r="AZ24" s="327"/>
      <c r="BA24" s="327"/>
      <c r="BB24" s="327"/>
      <c r="BC24" s="327"/>
      <c r="BD24" s="327"/>
      <c r="BE24" s="327"/>
      <c r="BF24" s="327"/>
    </row>
    <row r="25" spans="1:58" ht="13.5" customHeight="1">
      <c r="A25" s="147"/>
      <c r="B25" s="165"/>
      <c r="C25" s="339" t="s">
        <v>357</v>
      </c>
      <c r="D25" s="167" t="s">
        <v>393</v>
      </c>
      <c r="E25" s="167"/>
      <c r="F25" s="167"/>
      <c r="G25" s="167"/>
      <c r="H25" s="167"/>
      <c r="I25" s="167"/>
      <c r="J25" s="339"/>
      <c r="K25" s="339"/>
      <c r="L25" s="339"/>
      <c r="M25" s="152"/>
      <c r="N25" s="152"/>
      <c r="O25" s="163"/>
      <c r="P25" s="163"/>
      <c r="Q25" s="152"/>
      <c r="R25" s="164"/>
      <c r="S25" s="177"/>
      <c r="T25" s="1" t="s">
        <v>327</v>
      </c>
      <c r="U25" s="1" t="s">
        <v>482</v>
      </c>
      <c r="AL25" s="209" t="s">
        <v>267</v>
      </c>
      <c r="AM25" s="210">
        <v>0.4</v>
      </c>
      <c r="AQ25" s="327"/>
      <c r="AR25" s="327"/>
      <c r="AS25" s="327"/>
      <c r="AT25" s="327"/>
      <c r="AU25" s="327"/>
      <c r="AV25" s="327"/>
      <c r="AW25" s="327"/>
      <c r="AX25" s="327"/>
      <c r="AY25" s="327"/>
      <c r="AZ25" s="327"/>
      <c r="BA25" s="327"/>
      <c r="BB25" s="327"/>
      <c r="BC25" s="335"/>
      <c r="BD25" s="327"/>
      <c r="BE25" s="327"/>
      <c r="BF25" s="327"/>
    </row>
    <row r="26" spans="1:58" ht="13.5" customHeight="1">
      <c r="A26" s="147"/>
      <c r="B26" s="165"/>
      <c r="C26" s="339"/>
      <c r="D26" s="580" t="s">
        <v>373</v>
      </c>
      <c r="E26" s="580"/>
      <c r="F26" s="580"/>
      <c r="G26" s="580"/>
      <c r="H26" s="580"/>
      <c r="I26" s="589" t="s">
        <v>384</v>
      </c>
      <c r="J26" s="590"/>
      <c r="K26" s="591"/>
      <c r="L26" s="589" t="s">
        <v>573</v>
      </c>
      <c r="M26" s="590"/>
      <c r="N26" s="591"/>
      <c r="O26" s="575" t="s">
        <v>389</v>
      </c>
      <c r="P26" s="576"/>
      <c r="Q26" s="152"/>
      <c r="R26" s="164"/>
      <c r="S26" s="177"/>
      <c r="U26" s="5" t="s">
        <v>394</v>
      </c>
      <c r="AL26" s="209" t="s">
        <v>268</v>
      </c>
      <c r="AM26" s="210">
        <v>0.45</v>
      </c>
      <c r="AQ26" s="327"/>
      <c r="AR26" s="327"/>
      <c r="AS26" s="327"/>
      <c r="AT26" s="327"/>
      <c r="AU26" s="327"/>
      <c r="AV26" s="327"/>
      <c r="AW26" s="327"/>
      <c r="AX26" s="327"/>
      <c r="AY26" s="327"/>
      <c r="AZ26" s="327"/>
      <c r="BA26" s="327"/>
      <c r="BB26" s="327"/>
      <c r="BC26" s="327"/>
      <c r="BD26" s="327"/>
      <c r="BE26" s="327"/>
      <c r="BF26" s="327"/>
    </row>
    <row r="27" spans="1:58" ht="13.5" customHeight="1">
      <c r="A27" s="147"/>
      <c r="B27" s="165"/>
      <c r="C27" s="339"/>
      <c r="D27" s="580"/>
      <c r="E27" s="580"/>
      <c r="F27" s="580"/>
      <c r="G27" s="580"/>
      <c r="H27" s="580"/>
      <c r="I27" s="577" t="s">
        <v>383</v>
      </c>
      <c r="J27" s="592"/>
      <c r="K27" s="578"/>
      <c r="L27" s="577" t="s">
        <v>575</v>
      </c>
      <c r="M27" s="592"/>
      <c r="N27" s="578"/>
      <c r="O27" s="577" t="s">
        <v>490</v>
      </c>
      <c r="P27" s="578"/>
      <c r="Q27" s="152"/>
      <c r="R27" s="164"/>
      <c r="S27" s="146"/>
      <c r="AL27" s="209" t="s">
        <v>269</v>
      </c>
      <c r="AM27" s="210">
        <v>0.5</v>
      </c>
      <c r="AQ27" s="327"/>
      <c r="AR27" s="327"/>
      <c r="AS27" s="327"/>
      <c r="AT27" s="327"/>
      <c r="AU27" s="327"/>
      <c r="AV27" s="327"/>
      <c r="AW27" s="327"/>
      <c r="AX27" s="327"/>
      <c r="AY27" s="327"/>
      <c r="AZ27" s="327"/>
      <c r="BA27" s="327"/>
      <c r="BB27" s="327"/>
      <c r="BC27" s="327"/>
      <c r="BD27" s="327"/>
      <c r="BE27" s="327"/>
      <c r="BF27" s="327"/>
    </row>
    <row r="28" spans="1:58" ht="13.5" customHeight="1">
      <c r="A28" s="147"/>
      <c r="B28" s="165"/>
      <c r="C28" s="339"/>
      <c r="D28" s="583" t="s">
        <v>297</v>
      </c>
      <c r="E28" s="584"/>
      <c r="F28" s="584"/>
      <c r="G28" s="584"/>
      <c r="H28" s="585"/>
      <c r="I28" s="596"/>
      <c r="J28" s="597"/>
      <c r="K28" s="598"/>
      <c r="L28" s="593"/>
      <c r="M28" s="594"/>
      <c r="N28" s="595"/>
      <c r="O28" s="581">
        <v>1</v>
      </c>
      <c r="P28" s="582"/>
      <c r="Q28" s="152"/>
      <c r="R28" s="164"/>
      <c r="S28" s="146"/>
      <c r="U28" s="5"/>
      <c r="AL28" s="209" t="s">
        <v>270</v>
      </c>
      <c r="AM28" s="210">
        <v>0.55000000000000004</v>
      </c>
      <c r="AQ28" s="327"/>
      <c r="AR28" s="327"/>
      <c r="AS28" s="327"/>
      <c r="AT28" s="327"/>
      <c r="AU28" s="327"/>
      <c r="AV28" s="327"/>
      <c r="AW28" s="327"/>
      <c r="AX28" s="327"/>
      <c r="AY28" s="327"/>
      <c r="AZ28" s="327"/>
      <c r="BA28" s="327"/>
      <c r="BB28" s="327"/>
      <c r="BC28" s="335"/>
      <c r="BD28" s="327"/>
      <c r="BE28" s="327"/>
      <c r="BF28" s="327"/>
    </row>
    <row r="29" spans="1:58" ht="13.5" customHeight="1">
      <c r="A29" s="147"/>
      <c r="B29" s="165"/>
      <c r="C29" s="339" t="s">
        <v>358</v>
      </c>
      <c r="D29" s="165" t="s">
        <v>458</v>
      </c>
      <c r="E29" s="165"/>
      <c r="F29" s="165"/>
      <c r="G29" s="165"/>
      <c r="H29" s="165"/>
      <c r="I29" s="165"/>
      <c r="J29" s="599" t="s">
        <v>750</v>
      </c>
      <c r="K29" s="599"/>
      <c r="L29" s="599"/>
      <c r="M29" s="599"/>
      <c r="N29" s="599"/>
      <c r="O29" s="149">
        <f>IF(J29="国県私が管理する排水施設","※要施設管理者と協議",0)</f>
        <v>0</v>
      </c>
      <c r="P29" s="165"/>
      <c r="Q29" s="165"/>
      <c r="R29" s="165"/>
      <c r="S29" s="146"/>
      <c r="T29" s="1" t="s">
        <v>330</v>
      </c>
      <c r="U29" s="1" t="s">
        <v>749</v>
      </c>
      <c r="AL29" s="209" t="s">
        <v>272</v>
      </c>
      <c r="AM29" s="210">
        <v>0.6</v>
      </c>
      <c r="AQ29" s="327"/>
      <c r="AR29" s="327"/>
      <c r="AS29" s="327"/>
      <c r="AT29" s="327"/>
      <c r="AU29" s="327"/>
      <c r="AV29" s="327"/>
      <c r="AW29" s="327"/>
      <c r="AX29" s="327"/>
      <c r="AY29" s="327"/>
      <c r="AZ29" s="327"/>
      <c r="BA29" s="327"/>
      <c r="BB29" s="327"/>
      <c r="BC29" s="327"/>
      <c r="BD29" s="327"/>
      <c r="BE29" s="327"/>
      <c r="BF29" s="327"/>
    </row>
    <row r="30" spans="1:58" ht="13.5" customHeight="1">
      <c r="A30" s="147"/>
      <c r="B30" s="165"/>
      <c r="C30" s="167"/>
      <c r="D30" s="165"/>
      <c r="E30" s="165"/>
      <c r="F30" s="165"/>
      <c r="G30" s="165"/>
      <c r="H30" s="165"/>
      <c r="I30" s="165"/>
      <c r="J30" s="165"/>
      <c r="K30" s="165"/>
      <c r="L30" s="165"/>
      <c r="M30" s="165"/>
      <c r="N30" s="165"/>
      <c r="O30" s="165"/>
      <c r="P30" s="165"/>
      <c r="Q30" s="165"/>
      <c r="R30" s="165"/>
      <c r="S30" s="146"/>
      <c r="U30" s="1" t="s">
        <v>748</v>
      </c>
      <c r="AL30" s="209" t="s">
        <v>274</v>
      </c>
      <c r="AM30" s="210">
        <v>0.65</v>
      </c>
      <c r="AQ30" s="327"/>
      <c r="AR30" s="327"/>
      <c r="AS30" s="327"/>
      <c r="AT30" s="327"/>
      <c r="AU30" s="327"/>
      <c r="AV30" s="327"/>
      <c r="AW30" s="327"/>
      <c r="AX30" s="327"/>
      <c r="AY30" s="327"/>
      <c r="AZ30" s="327"/>
      <c r="BA30" s="327"/>
      <c r="BB30" s="327"/>
      <c r="BC30" s="327"/>
      <c r="BD30" s="327"/>
      <c r="BE30" s="327"/>
      <c r="BF30" s="327"/>
    </row>
    <row r="31" spans="1:58" ht="13.5" customHeight="1">
      <c r="A31" s="147"/>
      <c r="B31" s="165">
        <v>3</v>
      </c>
      <c r="C31" s="167" t="s">
        <v>61</v>
      </c>
      <c r="D31" s="165"/>
      <c r="E31" s="165"/>
      <c r="F31" s="165"/>
      <c r="G31" s="165"/>
      <c r="H31" s="165"/>
      <c r="I31" s="165"/>
      <c r="J31" s="165"/>
      <c r="K31" s="165"/>
      <c r="L31" s="165"/>
      <c r="M31" s="165"/>
      <c r="N31" s="165"/>
      <c r="O31" s="165"/>
      <c r="P31" s="165"/>
      <c r="Q31" s="165"/>
      <c r="R31" s="165"/>
      <c r="S31" s="146"/>
      <c r="T31" s="1" t="s">
        <v>328</v>
      </c>
      <c r="U31" s="1" t="s">
        <v>338</v>
      </c>
      <c r="AL31" s="209" t="s">
        <v>276</v>
      </c>
      <c r="AM31" s="210">
        <v>0.7</v>
      </c>
      <c r="AQ31" s="327"/>
      <c r="AR31" s="327"/>
      <c r="AS31" s="327"/>
      <c r="AT31" s="327"/>
      <c r="AU31" s="327"/>
      <c r="AV31" s="327"/>
      <c r="AW31" s="327"/>
      <c r="AX31" s="327"/>
      <c r="AY31" s="327"/>
      <c r="AZ31" s="327"/>
      <c r="BA31" s="327"/>
      <c r="BB31" s="327"/>
      <c r="BC31" s="327"/>
      <c r="BD31" s="327"/>
      <c r="BE31" s="327"/>
      <c r="BF31" s="327"/>
    </row>
    <row r="32" spans="1:58" ht="13.5" customHeight="1">
      <c r="A32" s="147"/>
      <c r="B32" s="165"/>
      <c r="C32" s="339" t="s">
        <v>359</v>
      </c>
      <c r="D32" s="165" t="s">
        <v>500</v>
      </c>
      <c r="E32" s="165"/>
      <c r="F32" s="165"/>
      <c r="G32" s="165"/>
      <c r="H32" s="165"/>
      <c r="I32" s="165"/>
      <c r="J32" s="152" t="s">
        <v>62</v>
      </c>
      <c r="K32" s="587"/>
      <c r="L32" s="587"/>
      <c r="M32" s="153" t="s">
        <v>63</v>
      </c>
      <c r="N32" s="165"/>
      <c r="O32" s="165"/>
      <c r="P32" s="165"/>
      <c r="Q32" s="186"/>
      <c r="R32" s="165"/>
      <c r="S32" s="146"/>
      <c r="T32" s="1" t="s">
        <v>332</v>
      </c>
      <c r="U32" s="1" t="s">
        <v>401</v>
      </c>
      <c r="AL32" s="209" t="s">
        <v>277</v>
      </c>
      <c r="AM32" s="210">
        <v>0.75</v>
      </c>
      <c r="AQ32" s="327"/>
      <c r="AR32" s="327"/>
      <c r="AS32" s="327"/>
      <c r="AT32" s="327"/>
      <c r="AU32" s="327"/>
      <c r="AV32" s="327"/>
      <c r="AW32" s="327"/>
      <c r="AX32" s="327"/>
      <c r="AY32" s="327"/>
      <c r="AZ32" s="327"/>
      <c r="BA32" s="327"/>
      <c r="BB32" s="327"/>
      <c r="BC32" s="327"/>
      <c r="BD32" s="327"/>
      <c r="BE32" s="327"/>
      <c r="BF32" s="327"/>
    </row>
    <row r="33" spans="1:58" ht="13.5" customHeight="1">
      <c r="A33" s="147"/>
      <c r="B33" s="165"/>
      <c r="C33" s="339" t="s">
        <v>360</v>
      </c>
      <c r="D33" s="165" t="s">
        <v>309</v>
      </c>
      <c r="E33" s="165"/>
      <c r="F33" s="165"/>
      <c r="G33" s="165"/>
      <c r="H33" s="165"/>
      <c r="I33" s="165"/>
      <c r="J33" s="138" t="s">
        <v>69</v>
      </c>
      <c r="K33" s="588">
        <v>2.5000000000000001E-2</v>
      </c>
      <c r="L33" s="588"/>
      <c r="M33" s="138" t="s">
        <v>70</v>
      </c>
      <c r="N33" s="165"/>
      <c r="O33" s="165"/>
      <c r="P33" s="165"/>
      <c r="Q33" s="165"/>
      <c r="R33" s="187"/>
      <c r="S33" s="146"/>
      <c r="T33" s="253" t="s">
        <v>333</v>
      </c>
      <c r="U33" s="1" t="s">
        <v>405</v>
      </c>
      <c r="AL33" s="209" t="s">
        <v>279</v>
      </c>
      <c r="AM33" s="210">
        <v>0.8</v>
      </c>
      <c r="AQ33" s="327"/>
      <c r="AR33" s="327"/>
      <c r="AS33" s="327"/>
      <c r="AT33" s="327"/>
      <c r="AU33" s="327"/>
      <c r="AV33" s="327"/>
      <c r="AW33" s="327"/>
      <c r="AX33" s="327"/>
      <c r="AY33" s="327"/>
      <c r="AZ33" s="327"/>
      <c r="BA33" s="327"/>
      <c r="BB33" s="327"/>
      <c r="BC33" s="327"/>
      <c r="BD33" s="327"/>
      <c r="BE33" s="327"/>
      <c r="BF33" s="327"/>
    </row>
    <row r="34" spans="1:58" ht="13.5" customHeight="1">
      <c r="A34" s="147"/>
      <c r="B34" s="165"/>
      <c r="C34" s="167"/>
      <c r="D34" s="153"/>
      <c r="E34" s="165"/>
      <c r="F34" s="165"/>
      <c r="G34" s="165"/>
      <c r="H34" s="165"/>
      <c r="I34" s="165"/>
      <c r="J34" s="138"/>
      <c r="K34" s="558"/>
      <c r="L34" s="558"/>
      <c r="M34" s="138"/>
      <c r="N34" s="165"/>
      <c r="O34" s="165"/>
      <c r="P34" s="165"/>
      <c r="Q34" s="149"/>
      <c r="R34" s="165"/>
      <c r="S34" s="146"/>
      <c r="U34" s="1" t="s">
        <v>416</v>
      </c>
      <c r="AL34" s="209" t="s">
        <v>281</v>
      </c>
      <c r="AM34" s="210">
        <v>0.85</v>
      </c>
    </row>
    <row r="35" spans="1:58" ht="13.5" customHeight="1">
      <c r="A35" s="147"/>
      <c r="B35" s="165">
        <v>4</v>
      </c>
      <c r="C35" s="167" t="s">
        <v>68</v>
      </c>
      <c r="D35" s="154"/>
      <c r="E35" s="165"/>
      <c r="F35" s="165"/>
      <c r="G35" s="165"/>
      <c r="H35" s="165"/>
      <c r="I35" s="165"/>
      <c r="J35" s="165"/>
      <c r="K35" s="165"/>
      <c r="L35" s="165"/>
      <c r="M35" s="165"/>
      <c r="N35" s="165"/>
      <c r="O35" s="165"/>
      <c r="P35" s="165"/>
      <c r="Q35" s="165"/>
      <c r="R35" s="165"/>
      <c r="S35" s="146"/>
    </row>
    <row r="36" spans="1:58" ht="13.5" customHeight="1">
      <c r="A36" s="147"/>
      <c r="B36" s="165"/>
      <c r="C36" s="339"/>
      <c r="D36" s="165" t="s">
        <v>71</v>
      </c>
      <c r="E36" s="338"/>
      <c r="F36" s="338"/>
      <c r="G36" s="338"/>
      <c r="H36" s="338"/>
      <c r="I36" s="338"/>
      <c r="J36" s="261" t="s">
        <v>72</v>
      </c>
      <c r="K36" s="560">
        <f>0.6</f>
        <v>0.6</v>
      </c>
      <c r="L36" s="560"/>
      <c r="M36" s="137"/>
      <c r="N36" s="137"/>
      <c r="O36" s="338"/>
      <c r="P36" s="338"/>
      <c r="Q36" s="165"/>
      <c r="R36" s="165"/>
      <c r="S36" s="146"/>
      <c r="T36" s="1" t="s">
        <v>501</v>
      </c>
    </row>
    <row r="37" spans="1:58" ht="13.5" customHeight="1">
      <c r="A37" s="147"/>
      <c r="B37" s="165"/>
      <c r="C37" s="339" t="s">
        <v>364</v>
      </c>
      <c r="D37" s="165" t="s">
        <v>597</v>
      </c>
      <c r="E37" s="338"/>
      <c r="F37" s="338"/>
      <c r="G37" s="338"/>
      <c r="H37" s="338"/>
      <c r="I37" s="338"/>
      <c r="J37" s="334" t="s">
        <v>606</v>
      </c>
      <c r="K37" s="587"/>
      <c r="L37" s="587"/>
      <c r="M37" s="137" t="s">
        <v>73</v>
      </c>
      <c r="N37" s="298"/>
      <c r="O37" s="338"/>
      <c r="P37" s="338"/>
      <c r="Q37" s="165"/>
      <c r="R37" s="165"/>
      <c r="S37" s="146"/>
      <c r="T37" s="1" t="s">
        <v>335</v>
      </c>
      <c r="U37" s="1" t="s">
        <v>599</v>
      </c>
    </row>
    <row r="38" spans="1:58" ht="13.5" customHeight="1">
      <c r="A38" s="147"/>
      <c r="B38" s="165"/>
      <c r="C38" s="165"/>
      <c r="D38" s="165"/>
      <c r="E38" s="165"/>
      <c r="F38" s="165"/>
      <c r="G38" s="165"/>
      <c r="H38" s="165"/>
      <c r="I38" s="165"/>
      <c r="J38" s="165"/>
      <c r="K38" s="165"/>
      <c r="L38" s="165"/>
      <c r="M38" s="165"/>
      <c r="N38" s="165"/>
      <c r="O38" s="165"/>
      <c r="P38" s="165"/>
      <c r="Q38" s="165"/>
      <c r="R38" s="165"/>
      <c r="S38" s="146"/>
    </row>
    <row r="39" spans="1:58" ht="13.5" customHeight="1">
      <c r="A39" s="155" t="s">
        <v>637</v>
      </c>
      <c r="B39" s="139"/>
      <c r="C39" s="139"/>
      <c r="D39" s="139"/>
      <c r="E39" s="165"/>
      <c r="F39" s="165"/>
      <c r="G39" s="165"/>
      <c r="H39" s="165"/>
      <c r="I39" s="175"/>
      <c r="J39" s="140"/>
      <c r="K39" s="586"/>
      <c r="L39" s="586"/>
      <c r="M39" s="139"/>
      <c r="N39" s="165"/>
      <c r="O39" s="165"/>
      <c r="P39" s="165"/>
      <c r="Q39" s="165"/>
      <c r="R39" s="165"/>
      <c r="S39" s="146"/>
    </row>
    <row r="40" spans="1:58" ht="13.5" customHeight="1">
      <c r="A40" s="157"/>
      <c r="B40" s="95"/>
      <c r="C40" s="96"/>
      <c r="D40" s="96"/>
      <c r="E40" s="96"/>
      <c r="F40" s="96"/>
      <c r="G40" s="97"/>
      <c r="H40" s="426" t="s">
        <v>210</v>
      </c>
      <c r="I40" s="426"/>
      <c r="J40" s="424"/>
      <c r="K40" s="426" t="s">
        <v>211</v>
      </c>
      <c r="L40" s="426"/>
      <c r="M40" s="426"/>
      <c r="N40" s="425" t="s">
        <v>212</v>
      </c>
      <c r="O40" s="426"/>
      <c r="P40" s="426"/>
      <c r="Q40" s="451" t="s">
        <v>213</v>
      </c>
      <c r="R40" s="452"/>
      <c r="S40" s="146"/>
    </row>
    <row r="41" spans="1:58" ht="13.5" customHeight="1">
      <c r="A41" s="157"/>
      <c r="B41" s="98"/>
      <c r="C41" s="99"/>
      <c r="D41" s="99"/>
      <c r="E41" s="99"/>
      <c r="F41" s="99"/>
      <c r="G41" s="100"/>
      <c r="H41" s="451"/>
      <c r="I41" s="453"/>
      <c r="J41" s="453"/>
      <c r="K41" s="451"/>
      <c r="L41" s="453"/>
      <c r="M41" s="452"/>
      <c r="N41" s="451"/>
      <c r="O41" s="453"/>
      <c r="P41" s="452"/>
      <c r="Q41" s="451"/>
      <c r="R41" s="452"/>
      <c r="S41" s="146"/>
    </row>
    <row r="42" spans="1:58" ht="13.5" customHeight="1">
      <c r="A42" s="157"/>
      <c r="B42" s="101" t="s">
        <v>214</v>
      </c>
      <c r="C42" s="70"/>
      <c r="D42" s="70"/>
      <c r="E42" s="70"/>
      <c r="F42" s="70"/>
      <c r="G42" s="102"/>
      <c r="H42" s="466">
        <f>E154</f>
        <v>0</v>
      </c>
      <c r="I42" s="467"/>
      <c r="J42" s="467"/>
      <c r="K42" s="466" t="s">
        <v>215</v>
      </c>
      <c r="L42" s="467"/>
      <c r="M42" s="467"/>
      <c r="N42" s="466">
        <f>$E$159</f>
        <v>0</v>
      </c>
      <c r="O42" s="467"/>
      <c r="P42" s="468"/>
      <c r="Q42" s="456" t="str">
        <f>IF(H42&gt;=N42,"ＯＫ","ＮＧ")</f>
        <v>ＯＫ</v>
      </c>
      <c r="R42" s="472"/>
      <c r="S42" s="146"/>
    </row>
    <row r="43" spans="1:58" ht="13.5" customHeight="1">
      <c r="A43" s="157"/>
      <c r="B43" s="98"/>
      <c r="C43" s="99"/>
      <c r="D43" s="99"/>
      <c r="E43" s="99"/>
      <c r="F43" s="99"/>
      <c r="G43" s="100"/>
      <c r="H43" s="451"/>
      <c r="I43" s="453"/>
      <c r="J43" s="453"/>
      <c r="K43" s="473" t="str">
        <f>IF(M7=0,"","("&amp;ROUND(K44/($G$15/10000),0)&amp;" m3/ha)")</f>
        <v/>
      </c>
      <c r="L43" s="474"/>
      <c r="M43" s="475"/>
      <c r="N43" s="451"/>
      <c r="O43" s="453"/>
      <c r="P43" s="452"/>
      <c r="Q43" s="458"/>
      <c r="R43" s="460"/>
      <c r="S43" s="146"/>
    </row>
    <row r="44" spans="1:58" ht="13.5" customHeight="1">
      <c r="A44" s="157"/>
      <c r="B44" s="101" t="s">
        <v>467</v>
      </c>
      <c r="C44" s="70"/>
      <c r="D44" s="70"/>
      <c r="E44" s="70"/>
      <c r="F44" s="70"/>
      <c r="G44" s="102"/>
      <c r="H44" s="476" t="s">
        <v>215</v>
      </c>
      <c r="I44" s="477"/>
      <c r="J44" s="477"/>
      <c r="K44" s="476" t="e">
        <f>E219</f>
        <v>#VALUE!</v>
      </c>
      <c r="L44" s="477"/>
      <c r="M44" s="478"/>
      <c r="N44" s="476">
        <f>E224</f>
        <v>0</v>
      </c>
      <c r="O44" s="477"/>
      <c r="P44" s="478"/>
      <c r="Q44" s="456" t="e">
        <f>IF(K44&lt;=N44,"ＯＫ","ＮＧ")</f>
        <v>#VALUE!</v>
      </c>
      <c r="R44" s="457"/>
      <c r="S44" s="146"/>
    </row>
    <row r="45" spans="1:58" ht="13.5" customHeight="1">
      <c r="A45" s="157"/>
      <c r="B45" s="103"/>
      <c r="C45" s="30"/>
      <c r="D45" s="30"/>
      <c r="E45" s="30"/>
      <c r="F45" s="30"/>
      <c r="G45" s="104"/>
      <c r="H45" s="458"/>
      <c r="I45" s="459"/>
      <c r="J45" s="459"/>
      <c r="K45" s="458"/>
      <c r="L45" s="459"/>
      <c r="M45" s="460"/>
      <c r="N45" s="458"/>
      <c r="O45" s="459"/>
      <c r="P45" s="460"/>
      <c r="Q45" s="458"/>
      <c r="R45" s="460"/>
      <c r="S45" s="146"/>
    </row>
    <row r="46" spans="1:58" ht="13.5" customHeight="1">
      <c r="A46" s="157"/>
      <c r="B46" s="101" t="s">
        <v>601</v>
      </c>
      <c r="C46" s="70"/>
      <c r="D46" s="70"/>
      <c r="E46" s="70"/>
      <c r="F46" s="70"/>
      <c r="G46" s="102"/>
      <c r="H46" s="461">
        <f>$I$28</f>
        <v>0</v>
      </c>
      <c r="I46" s="462"/>
      <c r="J46" s="462"/>
      <c r="K46" s="463" t="s">
        <v>344</v>
      </c>
      <c r="L46" s="464"/>
      <c r="M46" s="465"/>
      <c r="N46" s="461" t="e">
        <f>O228</f>
        <v>#VALUE!</v>
      </c>
      <c r="O46" s="462"/>
      <c r="P46" s="462"/>
      <c r="Q46" s="456" t="e">
        <f>IF(H46&gt;=N46,"ＯＫ","ＮＧ")</f>
        <v>#VALUE!</v>
      </c>
      <c r="R46" s="457"/>
      <c r="S46" s="146"/>
    </row>
    <row r="47" spans="1:58" ht="13.5" customHeight="1">
      <c r="A47" s="157"/>
      <c r="B47" s="103"/>
      <c r="C47" s="30"/>
      <c r="D47" s="30"/>
      <c r="E47" s="30"/>
      <c r="F47" s="30"/>
      <c r="G47" s="104"/>
      <c r="H47" s="458"/>
      <c r="I47" s="459"/>
      <c r="J47" s="459"/>
      <c r="K47" s="458"/>
      <c r="L47" s="459"/>
      <c r="M47" s="460"/>
      <c r="N47" s="451"/>
      <c r="O47" s="453"/>
      <c r="P47" s="452"/>
      <c r="Q47" s="458"/>
      <c r="R47" s="460"/>
      <c r="S47" s="146"/>
    </row>
    <row r="48" spans="1:58" ht="13.5" customHeight="1">
      <c r="A48" s="157"/>
      <c r="B48" s="101" t="s">
        <v>508</v>
      </c>
      <c r="C48" s="70"/>
      <c r="D48" s="70"/>
      <c r="E48" s="70"/>
      <c r="F48" s="70"/>
      <c r="G48" s="102"/>
      <c r="H48" s="463" t="e">
        <f>F243*1000</f>
        <v>#VALUE!</v>
      </c>
      <c r="I48" s="464"/>
      <c r="J48" s="464"/>
      <c r="K48" s="463">
        <v>30</v>
      </c>
      <c r="L48" s="464"/>
      <c r="M48" s="465"/>
      <c r="N48" s="463" t="e">
        <f>F244</f>
        <v>#VALUE!</v>
      </c>
      <c r="O48" s="464"/>
      <c r="P48" s="465"/>
      <c r="Q48" s="456" t="e">
        <f>IF(AND(N48&gt;=K48,H48&gt;=N48),"ＯＫ","ＮＧ")</f>
        <v>#VALUE!</v>
      </c>
      <c r="R48" s="457"/>
      <c r="S48" s="146"/>
      <c r="T48" s="1" t="s">
        <v>636</v>
      </c>
      <c r="AQ48" s="1" t="s">
        <v>65</v>
      </c>
      <c r="AS48" s="252"/>
      <c r="AU48" s="574">
        <f>ROUND(($G$15+G21)/10000*K33,5)</f>
        <v>0</v>
      </c>
      <c r="AV48" s="574"/>
      <c r="AW48" s="109" t="s">
        <v>64</v>
      </c>
    </row>
    <row r="49" spans="1:56" ht="13.5" customHeight="1">
      <c r="A49" s="157"/>
      <c r="B49" s="98"/>
      <c r="C49" s="99"/>
      <c r="D49" s="99"/>
      <c r="E49" s="99"/>
      <c r="F49" s="99"/>
      <c r="G49" s="100"/>
      <c r="H49" s="451"/>
      <c r="I49" s="453"/>
      <c r="J49" s="453"/>
      <c r="K49" s="451"/>
      <c r="L49" s="453"/>
      <c r="M49" s="452"/>
      <c r="N49" s="451"/>
      <c r="O49" s="453"/>
      <c r="P49" s="452"/>
      <c r="Q49" s="451"/>
      <c r="R49" s="452"/>
      <c r="S49" s="146"/>
    </row>
    <row r="50" spans="1:56" ht="13.5" customHeight="1">
      <c r="A50" s="156"/>
      <c r="B50" s="101" t="s">
        <v>375</v>
      </c>
      <c r="C50" s="70"/>
      <c r="D50" s="70"/>
      <c r="E50" s="70"/>
      <c r="F50" s="70"/>
      <c r="G50" s="102"/>
      <c r="H50" s="466">
        <f>E164</f>
        <v>0</v>
      </c>
      <c r="I50" s="467"/>
      <c r="J50" s="467"/>
      <c r="K50" s="466" t="s">
        <v>215</v>
      </c>
      <c r="L50" s="467"/>
      <c r="M50" s="467"/>
      <c r="N50" s="466" t="e">
        <f>F249</f>
        <v>#VALUE!</v>
      </c>
      <c r="O50" s="467"/>
      <c r="P50" s="468"/>
      <c r="Q50" s="456" t="e">
        <f>IF(H50&gt;=N50,"ＯＫ","ＮＧ")</f>
        <v>#VALUE!</v>
      </c>
      <c r="R50" s="457"/>
      <c r="S50" s="178"/>
      <c r="AQ50" s="260" t="s">
        <v>67</v>
      </c>
    </row>
    <row r="51" spans="1:56" ht="13.5" customHeight="1" thickBot="1">
      <c r="A51" s="147"/>
      <c r="B51" s="165"/>
      <c r="C51" s="165"/>
      <c r="D51" s="153"/>
      <c r="E51" s="165"/>
      <c r="F51" s="165"/>
      <c r="G51" s="165"/>
      <c r="H51" s="165"/>
      <c r="I51" s="165"/>
      <c r="J51" s="165"/>
      <c r="K51" s="165"/>
      <c r="L51" s="165"/>
      <c r="M51" s="165"/>
      <c r="N51" s="165"/>
      <c r="O51" s="165"/>
      <c r="P51" s="165"/>
      <c r="Q51" s="165"/>
      <c r="R51" s="165"/>
      <c r="S51" s="146"/>
      <c r="AQ51" s="138" t="s">
        <v>66</v>
      </c>
      <c r="AR51" s="559" t="str">
        <f>IF(M7=0,"",ROUNDDOWN(360*$E$164/$M$7/($G$15/10000),2))</f>
        <v/>
      </c>
      <c r="AS51" s="559"/>
      <c r="AT51" s="138" t="s">
        <v>59</v>
      </c>
    </row>
    <row r="52" spans="1:56" ht="13.5" customHeight="1">
      <c r="A52" s="343"/>
      <c r="B52" s="343"/>
      <c r="C52" s="142"/>
      <c r="D52" s="142"/>
      <c r="E52" s="142"/>
      <c r="F52" s="142"/>
      <c r="G52" s="142"/>
      <c r="H52" s="142"/>
      <c r="I52" s="142"/>
      <c r="J52" s="142"/>
      <c r="K52" s="142"/>
      <c r="L52" s="142"/>
      <c r="M52" s="142"/>
      <c r="N52" s="142"/>
      <c r="O52" s="142"/>
      <c r="P52" s="142"/>
      <c r="Q52" s="142"/>
      <c r="R52" s="343"/>
      <c r="S52" s="343"/>
    </row>
    <row r="53" spans="1:56" ht="13.5" customHeight="1">
      <c r="A53" s="133" t="s">
        <v>395</v>
      </c>
      <c r="B53" s="44"/>
      <c r="C53" s="44"/>
      <c r="D53" s="44"/>
      <c r="E53" s="44"/>
      <c r="F53" s="44"/>
      <c r="G53" s="44"/>
      <c r="H53" s="44"/>
      <c r="I53" s="44"/>
      <c r="J53" s="44"/>
      <c r="K53" s="44"/>
      <c r="L53" s="44"/>
      <c r="M53" s="44"/>
      <c r="N53" s="44"/>
      <c r="O53" s="44"/>
      <c r="P53" s="44"/>
      <c r="Q53" s="44"/>
      <c r="R53" s="44"/>
      <c r="S53" s="44"/>
      <c r="T53" s="44">
        <v>1</v>
      </c>
      <c r="U53" s="44"/>
    </row>
    <row r="54" spans="1:56" ht="13.5" customHeight="1">
      <c r="A54" s="133"/>
      <c r="B54" s="44"/>
      <c r="C54" s="44"/>
      <c r="D54" s="44"/>
      <c r="E54" s="44"/>
      <c r="F54" s="44"/>
      <c r="G54" s="44"/>
      <c r="H54" s="44"/>
      <c r="I54" s="44"/>
      <c r="J54" s="44"/>
      <c r="K54" s="44"/>
      <c r="L54" s="44"/>
      <c r="M54" s="44"/>
      <c r="N54" s="44"/>
      <c r="O54" s="44"/>
      <c r="P54" s="44"/>
      <c r="Q54" s="44"/>
      <c r="R54" s="44"/>
      <c r="S54" s="44"/>
      <c r="T54" s="44">
        <f>T53+1</f>
        <v>2</v>
      </c>
      <c r="U54" s="44"/>
    </row>
    <row r="55" spans="1:56" ht="13.5" customHeight="1">
      <c r="A55" s="133"/>
      <c r="B55" s="44" t="s">
        <v>640</v>
      </c>
      <c r="C55" s="44"/>
      <c r="D55" s="44"/>
      <c r="E55" s="44"/>
      <c r="F55" s="44"/>
      <c r="G55" s="44"/>
      <c r="H55" s="44"/>
      <c r="I55" s="44"/>
      <c r="J55" s="44"/>
      <c r="K55" s="44"/>
      <c r="L55" s="44"/>
      <c r="M55" s="44"/>
      <c r="N55" s="44"/>
      <c r="O55" s="44"/>
      <c r="P55" s="44"/>
      <c r="Q55" s="44"/>
      <c r="R55" s="44"/>
      <c r="S55" s="44"/>
      <c r="T55" s="44">
        <f t="shared" ref="T55:T103" si="6">T54+1</f>
        <v>3</v>
      </c>
      <c r="U55" s="44"/>
      <c r="BB55" s="173"/>
      <c r="BC55" s="173"/>
    </row>
    <row r="56" spans="1:56" ht="13.5" customHeight="1">
      <c r="A56" s="133"/>
      <c r="B56" s="165">
        <v>1</v>
      </c>
      <c r="C56" s="374" t="s">
        <v>18</v>
      </c>
      <c r="D56" s="374"/>
      <c r="E56" s="374"/>
      <c r="F56" s="374"/>
      <c r="G56" s="374"/>
      <c r="H56" s="374"/>
      <c r="I56" s="374"/>
      <c r="J56" s="374"/>
      <c r="K56" s="374"/>
      <c r="L56" s="374"/>
      <c r="M56" s="374"/>
      <c r="N56" s="374"/>
      <c r="O56" s="374"/>
      <c r="P56" s="374"/>
      <c r="Q56" s="374"/>
      <c r="R56" s="374"/>
      <c r="S56" s="44"/>
      <c r="T56" s="44">
        <f t="shared" si="6"/>
        <v>4</v>
      </c>
      <c r="U56" s="44"/>
      <c r="AL56" s="557" t="s">
        <v>77</v>
      </c>
      <c r="AM56" s="557"/>
      <c r="AN56" s="112" t="s">
        <v>75</v>
      </c>
      <c r="AO56" s="573" t="str">
        <f>IF(M7=0,"",ROUND($AR$51/2,2))</f>
        <v/>
      </c>
      <c r="AP56" s="573"/>
      <c r="AQ56" s="231"/>
      <c r="AR56" s="557" t="s">
        <v>78</v>
      </c>
      <c r="AS56" s="557"/>
      <c r="AT56" s="108" t="s">
        <v>75</v>
      </c>
      <c r="AU56" s="573" t="str">
        <f>IF(M7=0,"",ROUND(-$AR$51/2*2*$AX$67-$AT$66*($AV$67-1),2))</f>
        <v/>
      </c>
      <c r="AV56" s="573"/>
      <c r="AW56" s="176" t="s">
        <v>79</v>
      </c>
      <c r="AX56" s="112" t="s">
        <v>75</v>
      </c>
      <c r="AY56" s="566" t="str">
        <f>IF(M7=0,"",ROUND(($AR$51/2*$AX$67-$AT$66)*$AX$67,3))</f>
        <v/>
      </c>
      <c r="AZ56" s="566"/>
      <c r="BA56" s="566"/>
    </row>
    <row r="57" spans="1:56" ht="13.5" customHeight="1">
      <c r="A57" s="133"/>
      <c r="B57" s="165"/>
      <c r="C57" s="373" t="s">
        <v>760</v>
      </c>
      <c r="D57" s="165" t="s">
        <v>762</v>
      </c>
      <c r="E57" s="165"/>
      <c r="F57" s="151"/>
      <c r="G57" s="151"/>
      <c r="H57" s="755">
        <f>H6</f>
        <v>0</v>
      </c>
      <c r="I57" s="755"/>
      <c r="J57" s="755"/>
      <c r="K57" s="755"/>
      <c r="L57" s="755"/>
      <c r="M57" s="755"/>
      <c r="N57" s="755"/>
      <c r="O57" s="755"/>
      <c r="P57" s="755"/>
      <c r="Q57" s="755"/>
      <c r="R57" s="755"/>
      <c r="S57" s="44"/>
      <c r="T57" s="44">
        <f t="shared" si="6"/>
        <v>5</v>
      </c>
      <c r="U57" s="44"/>
      <c r="AL57" s="415"/>
      <c r="AM57" s="415"/>
      <c r="AN57" s="112"/>
      <c r="AO57" s="417"/>
      <c r="AP57" s="417"/>
      <c r="AQ57" s="416"/>
      <c r="AR57" s="415"/>
      <c r="AS57" s="415"/>
      <c r="AT57" s="108"/>
      <c r="AU57" s="417"/>
      <c r="AV57" s="417"/>
      <c r="AW57" s="176"/>
      <c r="AX57" s="112"/>
      <c r="AY57" s="416"/>
      <c r="AZ57" s="416"/>
      <c r="BA57" s="416"/>
    </row>
    <row r="58" spans="1:56" ht="13.5" customHeight="1">
      <c r="A58" s="133"/>
      <c r="B58" s="165"/>
      <c r="C58" s="375" t="s">
        <v>763</v>
      </c>
      <c r="D58" s="374" t="s">
        <v>20</v>
      </c>
      <c r="E58" s="374"/>
      <c r="F58" s="374"/>
      <c r="G58" s="374"/>
      <c r="H58" s="374"/>
      <c r="I58" s="374"/>
      <c r="J58" s="374"/>
      <c r="K58" s="374"/>
      <c r="L58" s="376" t="s">
        <v>21</v>
      </c>
      <c r="M58" s="670">
        <f>M7</f>
        <v>0</v>
      </c>
      <c r="N58" s="670"/>
      <c r="O58" s="374" t="s">
        <v>22</v>
      </c>
      <c r="P58" s="374"/>
      <c r="Q58" s="374"/>
      <c r="R58" s="374"/>
      <c r="S58" s="44"/>
      <c r="T58" s="44">
        <f t="shared" si="6"/>
        <v>6</v>
      </c>
      <c r="U58" s="44"/>
      <c r="AL58" s="557" t="s">
        <v>81</v>
      </c>
      <c r="AM58" s="557"/>
      <c r="AN58" s="112" t="s">
        <v>75</v>
      </c>
      <c r="AO58" s="567" t="str">
        <f>IF(M7=0,"",2*ROUND($AR$51/2,2))</f>
        <v/>
      </c>
      <c r="AP58" s="567"/>
      <c r="AQ58" s="231"/>
      <c r="AR58" s="557" t="s">
        <v>82</v>
      </c>
      <c r="AS58" s="557"/>
      <c r="AT58" s="106" t="s">
        <v>75</v>
      </c>
      <c r="AU58" s="568" t="str">
        <f>IF(M7=0,"",ROUND($AV$59^$AV$67,3))</f>
        <v/>
      </c>
      <c r="AV58" s="568"/>
    </row>
    <row r="59" spans="1:56" ht="13.5" customHeight="1">
      <c r="A59" s="133"/>
      <c r="B59" s="165"/>
      <c r="C59" s="375"/>
      <c r="D59" s="671" t="s">
        <v>23</v>
      </c>
      <c r="E59" s="672"/>
      <c r="F59" s="673"/>
      <c r="G59" s="671" t="s">
        <v>24</v>
      </c>
      <c r="H59" s="672"/>
      <c r="I59" s="673"/>
      <c r="J59" s="671" t="s">
        <v>25</v>
      </c>
      <c r="K59" s="672"/>
      <c r="L59" s="671" t="s">
        <v>26</v>
      </c>
      <c r="M59" s="673"/>
      <c r="N59" s="671" t="s">
        <v>27</v>
      </c>
      <c r="O59" s="672"/>
      <c r="P59" s="672"/>
      <c r="Q59" s="672"/>
      <c r="R59" s="673"/>
      <c r="S59" s="44"/>
      <c r="T59" s="44">
        <f t="shared" si="6"/>
        <v>7</v>
      </c>
      <c r="U59" s="44"/>
      <c r="AL59" s="557" t="s">
        <v>83</v>
      </c>
      <c r="AM59" s="557"/>
      <c r="AN59" s="108" t="s">
        <v>75</v>
      </c>
      <c r="AO59" s="569" t="str">
        <f>IF(M7=0,"",ROUNDUP($AT$66/(AU58+$AX$67),2))</f>
        <v/>
      </c>
      <c r="AP59" s="570"/>
      <c r="AQ59" s="1" t="s">
        <v>59</v>
      </c>
      <c r="AT59" s="176" t="s">
        <v>84</v>
      </c>
      <c r="AU59" s="112" t="s">
        <v>75</v>
      </c>
      <c r="AV59" s="571" t="str">
        <f>IF(M7=0,"",ROUND((($AU$56+SQRT($AU$56^2-4*AO56*$AY$56))/(2*AO56))^(1/$AV$67),2))</f>
        <v/>
      </c>
      <c r="AW59" s="572"/>
      <c r="AX59" s="114" t="s">
        <v>85</v>
      </c>
    </row>
    <row r="60" spans="1:56" ht="13.5" customHeight="1">
      <c r="A60" s="133"/>
      <c r="B60" s="165"/>
      <c r="C60" s="375"/>
      <c r="D60" s="674">
        <f t="shared" ref="D60:D65" si="7">D9</f>
        <v>0</v>
      </c>
      <c r="E60" s="675"/>
      <c r="F60" s="676"/>
      <c r="G60" s="677">
        <f t="shared" ref="G60:G65" si="8">G9</f>
        <v>0</v>
      </c>
      <c r="H60" s="678"/>
      <c r="I60" s="679"/>
      <c r="J60" s="680" t="str">
        <f t="shared" ref="J60:J65" si="9">J9</f>
        <v/>
      </c>
      <c r="K60" s="681"/>
      <c r="L60" s="682" t="str">
        <f t="shared" ref="L60:L66" si="10">L9</f>
        <v/>
      </c>
      <c r="M60" s="683"/>
      <c r="N60" s="684">
        <f t="shared" ref="N60:N65" si="11">N9</f>
        <v>0</v>
      </c>
      <c r="O60" s="685"/>
      <c r="P60" s="685"/>
      <c r="Q60" s="685"/>
      <c r="R60" s="686"/>
      <c r="S60" s="44"/>
      <c r="T60" s="44">
        <f t="shared" si="6"/>
        <v>8</v>
      </c>
      <c r="U60" s="44"/>
      <c r="AL60" s="105" t="s">
        <v>87</v>
      </c>
      <c r="AM60" s="105"/>
      <c r="AN60" s="105"/>
      <c r="AO60" s="105"/>
      <c r="AP60" s="105"/>
      <c r="AQ60" s="105"/>
      <c r="AR60" s="105"/>
    </row>
    <row r="61" spans="1:56" ht="13.5" customHeight="1">
      <c r="A61" s="133"/>
      <c r="B61" s="165"/>
      <c r="C61" s="375"/>
      <c r="D61" s="687">
        <f t="shared" si="7"/>
        <v>0</v>
      </c>
      <c r="E61" s="688"/>
      <c r="F61" s="689"/>
      <c r="G61" s="690">
        <f t="shared" si="8"/>
        <v>0</v>
      </c>
      <c r="H61" s="691"/>
      <c r="I61" s="692"/>
      <c r="J61" s="693" t="str">
        <f t="shared" si="9"/>
        <v/>
      </c>
      <c r="K61" s="694"/>
      <c r="L61" s="695" t="str">
        <f t="shared" si="10"/>
        <v/>
      </c>
      <c r="M61" s="696"/>
      <c r="N61" s="697">
        <f t="shared" si="11"/>
        <v>0</v>
      </c>
      <c r="O61" s="698"/>
      <c r="P61" s="698"/>
      <c r="Q61" s="698"/>
      <c r="R61" s="699"/>
      <c r="S61" s="44"/>
      <c r="T61" s="44">
        <f t="shared" si="6"/>
        <v>9</v>
      </c>
      <c r="U61" s="44"/>
      <c r="AL61" s="105"/>
      <c r="AM61" s="105" t="s">
        <v>88</v>
      </c>
      <c r="AN61" s="105"/>
      <c r="AO61" s="105" t="s">
        <v>89</v>
      </c>
      <c r="AP61" s="110"/>
      <c r="AQ61" s="110"/>
      <c r="AR61" s="110"/>
      <c r="AS61" s="561">
        <v>15</v>
      </c>
      <c r="AT61" s="561"/>
      <c r="AU61" s="105" t="s">
        <v>90</v>
      </c>
      <c r="AV61" s="105"/>
      <c r="AW61" s="1" t="s">
        <v>91</v>
      </c>
    </row>
    <row r="62" spans="1:56" ht="13.5" customHeight="1">
      <c r="A62" s="133"/>
      <c r="B62" s="165"/>
      <c r="C62" s="375"/>
      <c r="D62" s="687">
        <f t="shared" si="7"/>
        <v>0</v>
      </c>
      <c r="E62" s="688"/>
      <c r="F62" s="689"/>
      <c r="G62" s="690">
        <f t="shared" si="8"/>
        <v>0</v>
      </c>
      <c r="H62" s="691"/>
      <c r="I62" s="692"/>
      <c r="J62" s="693" t="str">
        <f t="shared" si="9"/>
        <v/>
      </c>
      <c r="K62" s="694"/>
      <c r="L62" s="695" t="str">
        <f t="shared" si="10"/>
        <v/>
      </c>
      <c r="M62" s="696"/>
      <c r="N62" s="697">
        <f t="shared" si="11"/>
        <v>0</v>
      </c>
      <c r="O62" s="698"/>
      <c r="P62" s="698"/>
      <c r="Q62" s="698"/>
      <c r="R62" s="699"/>
      <c r="S62" s="44"/>
      <c r="T62" s="44">
        <f t="shared" si="6"/>
        <v>10</v>
      </c>
      <c r="U62" s="44"/>
    </row>
    <row r="63" spans="1:56" ht="13.5" customHeight="1">
      <c r="A63" s="133"/>
      <c r="B63" s="165"/>
      <c r="C63" s="375"/>
      <c r="D63" s="687">
        <f t="shared" si="7"/>
        <v>0</v>
      </c>
      <c r="E63" s="688"/>
      <c r="F63" s="689"/>
      <c r="G63" s="690">
        <f t="shared" si="8"/>
        <v>0</v>
      </c>
      <c r="H63" s="691"/>
      <c r="I63" s="692"/>
      <c r="J63" s="693" t="str">
        <f t="shared" si="9"/>
        <v/>
      </c>
      <c r="K63" s="694"/>
      <c r="L63" s="695" t="str">
        <f t="shared" si="10"/>
        <v/>
      </c>
      <c r="M63" s="696"/>
      <c r="N63" s="697">
        <f t="shared" si="11"/>
        <v>0</v>
      </c>
      <c r="O63" s="698"/>
      <c r="P63" s="698"/>
      <c r="Q63" s="698"/>
      <c r="R63" s="699"/>
      <c r="S63" s="44"/>
      <c r="T63" s="44">
        <f t="shared" si="6"/>
        <v>11</v>
      </c>
      <c r="U63" s="44"/>
      <c r="AK63" s="170"/>
      <c r="AL63" s="170"/>
      <c r="AM63" s="170"/>
      <c r="AN63" s="170"/>
      <c r="AO63" s="170"/>
      <c r="AP63" s="170"/>
      <c r="AQ63" s="170"/>
      <c r="AR63" s="170"/>
      <c r="AS63" s="170"/>
      <c r="AT63" s="170"/>
      <c r="AU63" s="170"/>
      <c r="AV63" s="170"/>
      <c r="AW63" s="170"/>
      <c r="AX63" s="170"/>
      <c r="AY63" s="170"/>
      <c r="AZ63" s="170"/>
      <c r="BA63" s="170"/>
      <c r="BB63" s="170"/>
      <c r="BC63" s="170"/>
    </row>
    <row r="64" spans="1:56" ht="13.5" customHeight="1">
      <c r="A64" s="133"/>
      <c r="B64" s="165"/>
      <c r="C64" s="375"/>
      <c r="D64" s="687">
        <f t="shared" si="7"/>
        <v>0</v>
      </c>
      <c r="E64" s="688"/>
      <c r="F64" s="689"/>
      <c r="G64" s="690">
        <f t="shared" si="8"/>
        <v>0</v>
      </c>
      <c r="H64" s="691"/>
      <c r="I64" s="692"/>
      <c r="J64" s="693" t="str">
        <f t="shared" si="9"/>
        <v/>
      </c>
      <c r="K64" s="694"/>
      <c r="L64" s="695" t="str">
        <f t="shared" si="10"/>
        <v/>
      </c>
      <c r="M64" s="696"/>
      <c r="N64" s="697">
        <f t="shared" si="11"/>
        <v>0</v>
      </c>
      <c r="O64" s="698"/>
      <c r="P64" s="698"/>
      <c r="Q64" s="698"/>
      <c r="R64" s="699"/>
      <c r="S64" s="44"/>
      <c r="T64" s="44">
        <f t="shared" si="6"/>
        <v>12</v>
      </c>
      <c r="U64" s="44"/>
      <c r="AK64" s="5"/>
      <c r="AL64" s="5" t="s">
        <v>313</v>
      </c>
      <c r="AM64" s="297" t="s">
        <v>35</v>
      </c>
      <c r="AN64" s="5"/>
      <c r="AO64" s="171"/>
      <c r="AP64" s="171"/>
      <c r="AQ64" s="171"/>
      <c r="AR64" s="171"/>
      <c r="AS64" s="171"/>
      <c r="AT64" s="171"/>
      <c r="AU64" s="171"/>
      <c r="AV64" s="171"/>
      <c r="AW64" s="12"/>
      <c r="AX64" s="12"/>
      <c r="AY64" s="12"/>
      <c r="AZ64" s="12"/>
      <c r="BA64" s="172"/>
      <c r="BB64" s="172"/>
      <c r="BC64" s="172"/>
      <c r="BD64" s="6"/>
    </row>
    <row r="65" spans="1:56" ht="13.5" customHeight="1">
      <c r="A65" s="133"/>
      <c r="B65" s="165"/>
      <c r="C65" s="375"/>
      <c r="D65" s="687">
        <f t="shared" si="7"/>
        <v>0</v>
      </c>
      <c r="E65" s="688"/>
      <c r="F65" s="689"/>
      <c r="G65" s="690">
        <f t="shared" si="8"/>
        <v>0</v>
      </c>
      <c r="H65" s="691"/>
      <c r="I65" s="692"/>
      <c r="J65" s="693" t="str">
        <f t="shared" si="9"/>
        <v/>
      </c>
      <c r="K65" s="694"/>
      <c r="L65" s="695" t="str">
        <f t="shared" si="10"/>
        <v/>
      </c>
      <c r="M65" s="696"/>
      <c r="N65" s="697">
        <f t="shared" si="11"/>
        <v>0</v>
      </c>
      <c r="O65" s="698"/>
      <c r="P65" s="698"/>
      <c r="Q65" s="698"/>
      <c r="R65" s="699"/>
      <c r="S65" s="44"/>
      <c r="T65" s="44">
        <f t="shared" si="6"/>
        <v>13</v>
      </c>
      <c r="U65" s="44"/>
      <c r="AK65" s="5"/>
      <c r="AL65" s="5"/>
      <c r="AM65" s="337"/>
      <c r="AN65" s="5" t="s">
        <v>37</v>
      </c>
      <c r="AO65" s="5"/>
      <c r="AP65" s="5"/>
      <c r="AQ65" s="5"/>
      <c r="AR65" s="562" t="str">
        <f>"年超過確率 1/10"</f>
        <v>年超過確率 1/10</v>
      </c>
      <c r="AS65" s="563"/>
      <c r="AT65" s="563"/>
      <c r="AU65" s="563"/>
      <c r="AV65" s="563"/>
      <c r="AW65" s="563"/>
      <c r="AX65" s="563"/>
      <c r="AY65" s="563"/>
      <c r="AZ65" s="563"/>
      <c r="BA65" s="284"/>
      <c r="BB65" s="284"/>
      <c r="BC65" s="5"/>
      <c r="BD65" s="6"/>
    </row>
    <row r="66" spans="1:56" ht="13.5" customHeight="1">
      <c r="A66" s="133"/>
      <c r="B66" s="165"/>
      <c r="C66" s="375"/>
      <c r="D66" s="700" t="s">
        <v>30</v>
      </c>
      <c r="E66" s="701"/>
      <c r="F66" s="702"/>
      <c r="G66" s="616">
        <f>ROUND(SUM(G60:I65),1)</f>
        <v>0</v>
      </c>
      <c r="H66" s="617"/>
      <c r="I66" s="617"/>
      <c r="J66" s="377"/>
      <c r="K66" s="378"/>
      <c r="L66" s="703">
        <f t="shared" si="10"/>
        <v>0</v>
      </c>
      <c r="M66" s="704"/>
      <c r="N66" s="705"/>
      <c r="O66" s="706"/>
      <c r="P66" s="706"/>
      <c r="Q66" s="706"/>
      <c r="R66" s="707"/>
      <c r="S66" s="44"/>
      <c r="T66" s="44">
        <f t="shared" si="6"/>
        <v>14</v>
      </c>
      <c r="U66" s="44"/>
      <c r="AK66" s="5"/>
      <c r="AL66" s="5"/>
      <c r="AM66" s="562"/>
      <c r="AN66" s="4" t="s">
        <v>38</v>
      </c>
      <c r="AO66" s="4"/>
      <c r="AP66" s="4"/>
      <c r="AQ66" s="272"/>
      <c r="AR66" s="562" t="s">
        <v>39</v>
      </c>
      <c r="AS66" s="562"/>
      <c r="AT66" s="564">
        <f>VLOOKUP($AR$65,計画降雨名称・定数,2,FALSE)</f>
        <v>1695</v>
      </c>
      <c r="AU66" s="564"/>
      <c r="AV66" s="564"/>
      <c r="AW66" s="564"/>
      <c r="AX66" s="564"/>
      <c r="AY66" s="564"/>
      <c r="AZ66" s="564"/>
      <c r="BA66" s="4"/>
      <c r="BB66" s="4"/>
      <c r="BC66" s="5"/>
      <c r="BD66" s="6"/>
    </row>
    <row r="67" spans="1:56" ht="13.5" customHeight="1">
      <c r="A67" s="133"/>
      <c r="B67" s="165"/>
      <c r="C67" s="375" t="s">
        <v>764</v>
      </c>
      <c r="D67" s="374" t="s">
        <v>31</v>
      </c>
      <c r="E67" s="374"/>
      <c r="F67" s="374"/>
      <c r="G67" s="374"/>
      <c r="H67" s="374"/>
      <c r="I67" s="374"/>
      <c r="J67" s="374"/>
      <c r="K67" s="374"/>
      <c r="L67" s="376" t="s">
        <v>21</v>
      </c>
      <c r="M67" s="708">
        <f>M16</f>
        <v>0</v>
      </c>
      <c r="N67" s="708"/>
      <c r="O67" s="374" t="s">
        <v>22</v>
      </c>
      <c r="P67" s="376"/>
      <c r="Q67" s="374"/>
      <c r="R67" s="374"/>
      <c r="S67" s="44"/>
      <c r="T67" s="44">
        <f t="shared" si="6"/>
        <v>15</v>
      </c>
      <c r="U67" s="44"/>
      <c r="AK67" s="5"/>
      <c r="AL67" s="5"/>
      <c r="AM67" s="562"/>
      <c r="AN67" s="4"/>
      <c r="AO67" s="4"/>
      <c r="AP67" s="4"/>
      <c r="AQ67" s="272"/>
      <c r="AR67" s="562"/>
      <c r="AS67" s="562"/>
      <c r="AT67" s="273" t="s">
        <v>40</v>
      </c>
      <c r="AU67" s="4" t="s">
        <v>391</v>
      </c>
      <c r="AV67" s="274">
        <f>VLOOKUP($AR$65,計画降雨名称・定数,4,FALSE)</f>
        <v>0.75</v>
      </c>
      <c r="AW67" s="273" t="s">
        <v>42</v>
      </c>
      <c r="AX67" s="565">
        <f>VLOOKUP($AR$65,計画降雨名称・定数,3,FALSE)</f>
        <v>10</v>
      </c>
      <c r="AY67" s="565"/>
      <c r="AZ67" s="273" t="s">
        <v>43</v>
      </c>
      <c r="BA67" s="4"/>
      <c r="BB67" s="4"/>
      <c r="BC67" s="5"/>
      <c r="BD67" s="6"/>
    </row>
    <row r="68" spans="1:56" ht="13.5" customHeight="1">
      <c r="A68" s="133"/>
      <c r="B68" s="165"/>
      <c r="C68" s="374"/>
      <c r="D68" s="671" t="s">
        <v>23</v>
      </c>
      <c r="E68" s="672"/>
      <c r="F68" s="673"/>
      <c r="G68" s="709" t="s">
        <v>32</v>
      </c>
      <c r="H68" s="710"/>
      <c r="I68" s="711"/>
      <c r="J68" s="671" t="s">
        <v>25</v>
      </c>
      <c r="K68" s="673"/>
      <c r="L68" s="671" t="s">
        <v>26</v>
      </c>
      <c r="M68" s="673"/>
      <c r="N68" s="671" t="s">
        <v>27</v>
      </c>
      <c r="O68" s="672"/>
      <c r="P68" s="672"/>
      <c r="Q68" s="672"/>
      <c r="R68" s="673"/>
      <c r="S68" s="44"/>
      <c r="T68" s="44">
        <f t="shared" si="6"/>
        <v>16</v>
      </c>
      <c r="U68" s="44"/>
      <c r="AJ68" s="170"/>
      <c r="AK68" s="5"/>
      <c r="AL68" s="170"/>
      <c r="AM68" s="170"/>
      <c r="AN68" s="170"/>
      <c r="AO68" s="170"/>
      <c r="AP68" s="170"/>
      <c r="AQ68" s="170"/>
      <c r="AR68" s="170"/>
      <c r="AS68" s="170"/>
      <c r="AT68" s="170"/>
      <c r="AU68" s="170"/>
      <c r="AV68" s="170"/>
      <c r="AW68" s="170"/>
      <c r="AX68" s="170"/>
      <c r="AY68" s="170"/>
      <c r="AZ68" s="170"/>
      <c r="BA68" s="170"/>
      <c r="BB68" s="170"/>
      <c r="BC68" s="170"/>
      <c r="BD68" s="6"/>
    </row>
    <row r="69" spans="1:56" ht="13.5" customHeight="1">
      <c r="A69" s="133"/>
      <c r="B69" s="165"/>
      <c r="C69" s="374"/>
      <c r="D69" s="674">
        <f>D18</f>
        <v>0</v>
      </c>
      <c r="E69" s="675"/>
      <c r="F69" s="676"/>
      <c r="G69" s="677">
        <f>G18</f>
        <v>0</v>
      </c>
      <c r="H69" s="678"/>
      <c r="I69" s="679"/>
      <c r="J69" s="680" t="str">
        <f>J18</f>
        <v/>
      </c>
      <c r="K69" s="681"/>
      <c r="L69" s="712" t="str">
        <f>L18</f>
        <v/>
      </c>
      <c r="M69" s="713"/>
      <c r="N69" s="684">
        <f>N18</f>
        <v>0</v>
      </c>
      <c r="O69" s="685"/>
      <c r="P69" s="685"/>
      <c r="Q69" s="685"/>
      <c r="R69" s="686"/>
      <c r="S69" s="44"/>
      <c r="T69" s="44">
        <f t="shared" si="6"/>
        <v>17</v>
      </c>
      <c r="U69" s="44"/>
      <c r="AJ69" s="170"/>
      <c r="AK69" s="5"/>
      <c r="AL69" s="170"/>
      <c r="AM69" s="170"/>
      <c r="AN69" s="170"/>
      <c r="AO69" s="170"/>
      <c r="AP69" s="170"/>
      <c r="AQ69" s="170"/>
      <c r="AR69" s="170"/>
      <c r="AS69" s="170"/>
      <c r="AT69" s="170"/>
      <c r="AU69" s="170"/>
      <c r="AV69" s="170"/>
      <c r="AW69" s="170"/>
      <c r="AX69" s="170"/>
      <c r="AY69" s="170"/>
      <c r="AZ69" s="170"/>
      <c r="BA69" s="170"/>
      <c r="BB69" s="170"/>
      <c r="BC69" s="170"/>
      <c r="BD69" s="6"/>
    </row>
    <row r="70" spans="1:56" ht="13.5" customHeight="1">
      <c r="A70" s="133"/>
      <c r="B70" s="165"/>
      <c r="C70" s="374"/>
      <c r="D70" s="687">
        <f>D19</f>
        <v>0</v>
      </c>
      <c r="E70" s="688"/>
      <c r="F70" s="689"/>
      <c r="G70" s="690">
        <f>G19</f>
        <v>0</v>
      </c>
      <c r="H70" s="691"/>
      <c r="I70" s="692"/>
      <c r="J70" s="693" t="str">
        <f>J19</f>
        <v/>
      </c>
      <c r="K70" s="694"/>
      <c r="L70" s="714" t="str">
        <f>L19</f>
        <v/>
      </c>
      <c r="M70" s="715"/>
      <c r="N70" s="697">
        <f>N19</f>
        <v>0</v>
      </c>
      <c r="O70" s="698"/>
      <c r="P70" s="698"/>
      <c r="Q70" s="698"/>
      <c r="R70" s="699"/>
      <c r="S70" s="44"/>
      <c r="T70" s="44">
        <f t="shared" si="6"/>
        <v>18</v>
      </c>
      <c r="U70" s="44"/>
      <c r="AJ70" s="170"/>
      <c r="AK70" s="5"/>
      <c r="AL70" s="170"/>
      <c r="AM70" s="170"/>
      <c r="AN70" s="170"/>
      <c r="AO70" s="170"/>
      <c r="AP70" s="170"/>
      <c r="AQ70" s="170"/>
      <c r="AR70" s="170"/>
      <c r="AS70" s="170"/>
      <c r="AT70" s="170"/>
      <c r="AU70" s="170"/>
      <c r="AV70" s="170"/>
      <c r="AW70" s="170"/>
      <c r="AX70" s="170"/>
      <c r="AY70" s="170"/>
      <c r="AZ70" s="170"/>
      <c r="BA70" s="170"/>
      <c r="BB70" s="170"/>
      <c r="BC70" s="170"/>
      <c r="BD70" s="6"/>
    </row>
    <row r="71" spans="1:56" ht="13.5" customHeight="1">
      <c r="A71" s="133"/>
      <c r="B71" s="165"/>
      <c r="C71" s="374"/>
      <c r="D71" s="716">
        <f>D20</f>
        <v>0</v>
      </c>
      <c r="E71" s="717"/>
      <c r="F71" s="718"/>
      <c r="G71" s="719">
        <f>G20</f>
        <v>0</v>
      </c>
      <c r="H71" s="720"/>
      <c r="I71" s="721"/>
      <c r="J71" s="722" t="str">
        <f>J20</f>
        <v/>
      </c>
      <c r="K71" s="723"/>
      <c r="L71" s="724" t="str">
        <f>L20</f>
        <v/>
      </c>
      <c r="M71" s="725"/>
      <c r="N71" s="726">
        <f>N20</f>
        <v>0</v>
      </c>
      <c r="O71" s="727"/>
      <c r="P71" s="727"/>
      <c r="Q71" s="727"/>
      <c r="R71" s="728"/>
      <c r="S71" s="44"/>
      <c r="T71" s="44">
        <f t="shared" si="6"/>
        <v>19</v>
      </c>
      <c r="U71" s="44"/>
      <c r="AJ71" s="170"/>
      <c r="AK71" s="5"/>
      <c r="AL71" s="5"/>
      <c r="AM71" s="5"/>
      <c r="AN71" s="5"/>
      <c r="AO71" s="5"/>
      <c r="AP71" s="12"/>
      <c r="AQ71" s="12"/>
      <c r="AR71" s="12"/>
      <c r="AS71" s="12"/>
      <c r="AT71" s="12"/>
      <c r="AU71" s="12"/>
      <c r="AV71" s="12"/>
      <c r="AW71" s="12"/>
      <c r="AX71" s="12"/>
      <c r="AY71" s="12"/>
      <c r="AZ71" s="12"/>
      <c r="BA71" s="12"/>
      <c r="BB71" s="12"/>
      <c r="BC71" s="5"/>
      <c r="BD71" s="6"/>
    </row>
    <row r="72" spans="1:56" ht="14.25">
      <c r="A72" s="133"/>
      <c r="B72" s="165"/>
      <c r="C72" s="374"/>
      <c r="D72" s="700" t="s">
        <v>30</v>
      </c>
      <c r="E72" s="701"/>
      <c r="F72" s="702"/>
      <c r="G72" s="616">
        <f>SUM(G69:I71)</f>
        <v>0</v>
      </c>
      <c r="H72" s="617"/>
      <c r="I72" s="618"/>
      <c r="J72" s="700"/>
      <c r="K72" s="702"/>
      <c r="L72" s="729">
        <f>L21</f>
        <v>0</v>
      </c>
      <c r="M72" s="730"/>
      <c r="N72" s="671"/>
      <c r="O72" s="672"/>
      <c r="P72" s="672"/>
      <c r="Q72" s="672"/>
      <c r="R72" s="673"/>
      <c r="S72" s="44"/>
      <c r="T72" s="44">
        <f t="shared" si="6"/>
        <v>20</v>
      </c>
      <c r="U72" s="44"/>
      <c r="AJ72" s="170"/>
      <c r="AK72" s="276" t="s">
        <v>310</v>
      </c>
      <c r="AL72" s="5"/>
      <c r="AM72" s="5"/>
      <c r="AN72" s="5"/>
      <c r="AO72" s="5"/>
      <c r="AP72" s="5"/>
      <c r="AQ72" s="5"/>
      <c r="AR72" s="5"/>
      <c r="AS72" s="4" t="s">
        <v>74</v>
      </c>
      <c r="AT72" s="275" t="s">
        <v>75</v>
      </c>
      <c r="AU72" s="556" t="str">
        <f>IF(M7=0,"",ROUND(($AO$59-$AR$51/2)*$AV$59*60*($M$7*$G$15/10000)/360,2))</f>
        <v/>
      </c>
      <c r="AV72" s="556"/>
      <c r="AW72" s="5" t="s">
        <v>76</v>
      </c>
      <c r="AX72" s="5"/>
      <c r="AY72" s="5"/>
      <c r="AZ72" s="5"/>
      <c r="BA72" s="5"/>
      <c r="BB72" s="5"/>
      <c r="BC72" s="5"/>
      <c r="BD72" s="6"/>
    </row>
    <row r="73" spans="1:56" ht="14.25">
      <c r="A73" s="133"/>
      <c r="B73" s="165"/>
      <c r="C73" s="374"/>
      <c r="D73" s="374"/>
      <c r="E73" s="374"/>
      <c r="F73" s="374"/>
      <c r="G73" s="374"/>
      <c r="H73" s="374"/>
      <c r="I73" s="374"/>
      <c r="J73" s="374"/>
      <c r="K73" s="374"/>
      <c r="L73" s="374"/>
      <c r="M73" s="374"/>
      <c r="N73" s="374"/>
      <c r="O73" s="374"/>
      <c r="P73" s="374"/>
      <c r="Q73" s="374"/>
      <c r="R73" s="374"/>
      <c r="S73" s="44"/>
      <c r="T73" s="44">
        <f t="shared" si="6"/>
        <v>21</v>
      </c>
      <c r="U73" s="44"/>
      <c r="AJ73" s="170"/>
      <c r="AK73" s="5"/>
      <c r="AL73" s="5"/>
      <c r="AM73" s="5"/>
      <c r="AN73" s="5"/>
      <c r="AO73" s="5"/>
      <c r="AP73" s="5"/>
      <c r="AQ73" s="5"/>
      <c r="AR73" s="5"/>
      <c r="AS73" s="5"/>
      <c r="AT73" s="5"/>
      <c r="AU73" s="5"/>
      <c r="AV73" s="5"/>
      <c r="AW73" s="5"/>
      <c r="AX73" s="5"/>
      <c r="AY73" s="5"/>
      <c r="AZ73" s="5"/>
      <c r="BA73" s="5"/>
      <c r="BB73" s="5"/>
      <c r="BC73" s="5"/>
      <c r="BD73" s="6"/>
    </row>
    <row r="74" spans="1:56" ht="14.25">
      <c r="A74" s="133"/>
      <c r="B74" s="165">
        <v>2</v>
      </c>
      <c r="C74" s="379" t="s">
        <v>44</v>
      </c>
      <c r="D74" s="374"/>
      <c r="E74" s="374"/>
      <c r="F74" s="374"/>
      <c r="G74" s="374"/>
      <c r="H74" s="374"/>
      <c r="I74" s="374"/>
      <c r="J74" s="374"/>
      <c r="K74" s="374"/>
      <c r="L74" s="374"/>
      <c r="M74" s="374"/>
      <c r="N74" s="374"/>
      <c r="O74" s="374"/>
      <c r="P74" s="374"/>
      <c r="Q74" s="374"/>
      <c r="R74" s="374"/>
      <c r="S74" s="44"/>
      <c r="T74" s="44">
        <f t="shared" si="6"/>
        <v>22</v>
      </c>
      <c r="U74" s="44"/>
      <c r="AJ74" s="170"/>
      <c r="AK74" s="277" t="s">
        <v>311</v>
      </c>
      <c r="AL74" s="105"/>
      <c r="AM74" s="105"/>
      <c r="AN74" s="105"/>
      <c r="AO74" s="105"/>
      <c r="AP74" s="105"/>
      <c r="AQ74" s="105"/>
      <c r="AR74" s="105"/>
      <c r="AS74" s="278" t="s">
        <v>80</v>
      </c>
      <c r="AT74" s="279" t="s">
        <v>75</v>
      </c>
      <c r="AU74" s="556">
        <f>ROUND(AS61/10000*G15,2)</f>
        <v>0</v>
      </c>
      <c r="AV74" s="556"/>
      <c r="AW74" s="105" t="s">
        <v>76</v>
      </c>
      <c r="AX74" s="5"/>
      <c r="AY74" s="5"/>
      <c r="AZ74" s="5"/>
      <c r="BA74" s="5"/>
      <c r="BB74" s="5"/>
      <c r="BC74" s="5"/>
      <c r="BD74" s="6"/>
    </row>
    <row r="75" spans="1:56" ht="14.25">
      <c r="A75" s="133"/>
      <c r="B75" s="165"/>
      <c r="C75" s="375" t="s">
        <v>765</v>
      </c>
      <c r="D75" s="374" t="s">
        <v>644</v>
      </c>
      <c r="E75" s="374"/>
      <c r="F75" s="374"/>
      <c r="G75" s="374"/>
      <c r="H75" s="374"/>
      <c r="I75" s="374"/>
      <c r="J75" s="376" t="s">
        <v>45</v>
      </c>
      <c r="K75" s="731">
        <f>K24</f>
        <v>1</v>
      </c>
      <c r="L75" s="731"/>
      <c r="M75" s="731"/>
      <c r="N75" s="374"/>
      <c r="O75" s="374"/>
      <c r="P75" s="380"/>
      <c r="Q75" s="374"/>
      <c r="R75" s="374"/>
      <c r="S75" s="44"/>
      <c r="T75" s="44">
        <f t="shared" si="6"/>
        <v>23</v>
      </c>
      <c r="U75" s="44"/>
      <c r="AJ75" s="170"/>
    </row>
    <row r="76" spans="1:56" ht="14.25">
      <c r="A76" s="133"/>
      <c r="B76" s="165"/>
      <c r="C76" s="375" t="s">
        <v>766</v>
      </c>
      <c r="D76" s="379" t="s">
        <v>646</v>
      </c>
      <c r="E76" s="379"/>
      <c r="F76" s="379"/>
      <c r="G76" s="379"/>
      <c r="H76" s="379"/>
      <c r="I76" s="379"/>
      <c r="J76" s="375"/>
      <c r="K76" s="375"/>
      <c r="L76" s="375"/>
      <c r="M76" s="381"/>
      <c r="N76" s="381"/>
      <c r="O76" s="382"/>
      <c r="P76" s="382"/>
      <c r="Q76" s="381"/>
      <c r="R76" s="383"/>
      <c r="S76" s="44"/>
      <c r="T76" s="44">
        <f t="shared" si="6"/>
        <v>24</v>
      </c>
      <c r="U76" s="44"/>
      <c r="AJ76" s="170"/>
    </row>
    <row r="77" spans="1:56" ht="14.25">
      <c r="A77" s="133"/>
      <c r="B77" s="165"/>
      <c r="C77" s="375"/>
      <c r="D77" s="732" t="s">
        <v>647</v>
      </c>
      <c r="E77" s="732"/>
      <c r="F77" s="732"/>
      <c r="G77" s="732"/>
      <c r="H77" s="732"/>
      <c r="I77" s="733" t="s">
        <v>648</v>
      </c>
      <c r="J77" s="734"/>
      <c r="K77" s="735"/>
      <c r="L77" s="733" t="s">
        <v>649</v>
      </c>
      <c r="M77" s="734"/>
      <c r="N77" s="735"/>
      <c r="O77" s="736" t="s">
        <v>650</v>
      </c>
      <c r="P77" s="737"/>
      <c r="Q77" s="381"/>
      <c r="R77" s="383"/>
      <c r="S77" s="44"/>
      <c r="T77" s="44">
        <f t="shared" si="6"/>
        <v>25</v>
      </c>
      <c r="U77" s="44"/>
      <c r="AJ77" s="170"/>
    </row>
    <row r="78" spans="1:56" ht="14.25">
      <c r="A78" s="133"/>
      <c r="B78" s="165"/>
      <c r="C78" s="375"/>
      <c r="D78" s="732"/>
      <c r="E78" s="732"/>
      <c r="F78" s="732"/>
      <c r="G78" s="732"/>
      <c r="H78" s="732"/>
      <c r="I78" s="738" t="s">
        <v>651</v>
      </c>
      <c r="J78" s="739"/>
      <c r="K78" s="740"/>
      <c r="L78" s="738" t="s">
        <v>652</v>
      </c>
      <c r="M78" s="739"/>
      <c r="N78" s="740"/>
      <c r="O78" s="738" t="s">
        <v>653</v>
      </c>
      <c r="P78" s="740"/>
      <c r="Q78" s="381"/>
      <c r="R78" s="383"/>
      <c r="S78" s="44"/>
      <c r="T78" s="44">
        <f t="shared" si="6"/>
        <v>26</v>
      </c>
      <c r="U78" s="44"/>
      <c r="AJ78" s="170"/>
    </row>
    <row r="79" spans="1:56" ht="14.25">
      <c r="A79" s="133"/>
      <c r="B79" s="165"/>
      <c r="C79" s="375"/>
      <c r="D79" s="741" t="str">
        <f>D28</f>
        <v>調整池</v>
      </c>
      <c r="E79" s="742"/>
      <c r="F79" s="742"/>
      <c r="G79" s="742"/>
      <c r="H79" s="743"/>
      <c r="I79" s="744">
        <f>I28</f>
        <v>0</v>
      </c>
      <c r="J79" s="745"/>
      <c r="K79" s="746"/>
      <c r="L79" s="747">
        <f>L28</f>
        <v>0</v>
      </c>
      <c r="M79" s="748"/>
      <c r="N79" s="749"/>
      <c r="O79" s="581">
        <f>O28</f>
        <v>1</v>
      </c>
      <c r="P79" s="582"/>
      <c r="Q79" s="381"/>
      <c r="R79" s="383"/>
      <c r="S79" s="44"/>
      <c r="T79" s="44">
        <f t="shared" si="6"/>
        <v>27</v>
      </c>
      <c r="U79" s="44"/>
      <c r="AJ79" s="170"/>
    </row>
    <row r="80" spans="1:56" ht="14.25">
      <c r="A80" s="133"/>
      <c r="B80" s="165"/>
      <c r="C80" s="375" t="s">
        <v>767</v>
      </c>
      <c r="D80" s="374" t="s">
        <v>655</v>
      </c>
      <c r="E80" s="374"/>
      <c r="F80" s="374"/>
      <c r="G80" s="374"/>
      <c r="H80" s="374"/>
      <c r="I80" s="374"/>
      <c r="J80" s="753" t="str">
        <f>J29</f>
        <v>市道路排水施設</v>
      </c>
      <c r="K80" s="753"/>
      <c r="L80" s="753"/>
      <c r="M80" s="753"/>
      <c r="N80" s="753"/>
      <c r="O80" s="387">
        <f>O29</f>
        <v>0</v>
      </c>
      <c r="P80" s="374"/>
      <c r="Q80" s="374"/>
      <c r="R80" s="374"/>
      <c r="S80" s="44"/>
      <c r="T80" s="44">
        <f t="shared" si="6"/>
        <v>28</v>
      </c>
      <c r="U80" s="44"/>
    </row>
    <row r="81" spans="1:21" ht="14.25">
      <c r="A81" s="133"/>
      <c r="B81" s="165"/>
      <c r="C81" s="379"/>
      <c r="D81" s="374"/>
      <c r="E81" s="374"/>
      <c r="F81" s="374"/>
      <c r="G81" s="374"/>
      <c r="H81" s="374"/>
      <c r="I81" s="374"/>
      <c r="J81" s="374"/>
      <c r="K81" s="374"/>
      <c r="L81" s="374"/>
      <c r="M81" s="374"/>
      <c r="N81" s="374"/>
      <c r="O81" s="374"/>
      <c r="P81" s="374"/>
      <c r="Q81" s="374"/>
      <c r="R81" s="374"/>
      <c r="S81" s="44"/>
      <c r="T81" s="44">
        <f t="shared" si="6"/>
        <v>29</v>
      </c>
      <c r="U81" s="44"/>
    </row>
    <row r="82" spans="1:21" ht="14.25">
      <c r="A82" s="133"/>
      <c r="B82" s="165">
        <v>3</v>
      </c>
      <c r="C82" s="379" t="s">
        <v>61</v>
      </c>
      <c r="D82" s="374"/>
      <c r="E82" s="374"/>
      <c r="F82" s="374"/>
      <c r="G82" s="374"/>
      <c r="H82" s="374"/>
      <c r="I82" s="374"/>
      <c r="J82" s="374"/>
      <c r="K82" s="374"/>
      <c r="L82" s="374"/>
      <c r="M82" s="374"/>
      <c r="N82" s="374"/>
      <c r="O82" s="374"/>
      <c r="P82" s="374"/>
      <c r="Q82" s="374"/>
      <c r="R82" s="374"/>
      <c r="S82" s="44"/>
      <c r="T82" s="44">
        <f t="shared" si="6"/>
        <v>30</v>
      </c>
      <c r="U82" s="44"/>
    </row>
    <row r="83" spans="1:21" ht="14.25">
      <c r="A83" s="133"/>
      <c r="B83" s="165"/>
      <c r="C83" s="375" t="s">
        <v>768</v>
      </c>
      <c r="D83" s="374" t="s">
        <v>657</v>
      </c>
      <c r="E83" s="374"/>
      <c r="F83" s="374"/>
      <c r="G83" s="374"/>
      <c r="H83" s="374"/>
      <c r="I83" s="374"/>
      <c r="J83" s="381" t="s">
        <v>62</v>
      </c>
      <c r="K83" s="750">
        <f>K32</f>
        <v>0</v>
      </c>
      <c r="L83" s="750"/>
      <c r="M83" s="153" t="s">
        <v>63</v>
      </c>
      <c r="N83" s="374"/>
      <c r="O83" s="374"/>
      <c r="P83" s="374"/>
      <c r="Q83" s="385"/>
      <c r="R83" s="374"/>
      <c r="S83" s="44"/>
      <c r="T83" s="44">
        <f t="shared" si="6"/>
        <v>31</v>
      </c>
      <c r="U83" s="44"/>
    </row>
    <row r="84" spans="1:21" ht="14.25">
      <c r="A84" s="133"/>
      <c r="B84" s="165"/>
      <c r="C84" s="375" t="s">
        <v>769</v>
      </c>
      <c r="D84" s="374" t="s">
        <v>125</v>
      </c>
      <c r="E84" s="374"/>
      <c r="F84" s="374"/>
      <c r="G84" s="374"/>
      <c r="H84" s="374"/>
      <c r="I84" s="374"/>
      <c r="J84" s="386" t="s">
        <v>69</v>
      </c>
      <c r="K84" s="751">
        <f>K33</f>
        <v>2.5000000000000001E-2</v>
      </c>
      <c r="L84" s="751"/>
      <c r="M84" s="138" t="s">
        <v>70</v>
      </c>
      <c r="N84" s="374"/>
      <c r="O84" s="374"/>
      <c r="P84" s="374"/>
      <c r="Q84" s="374"/>
      <c r="R84" s="187"/>
      <c r="S84" s="44"/>
      <c r="T84" s="44">
        <f t="shared" si="6"/>
        <v>32</v>
      </c>
      <c r="U84" s="44"/>
    </row>
    <row r="85" spans="1:21" ht="14.25">
      <c r="A85" s="133"/>
      <c r="B85" s="165"/>
      <c r="C85" s="379"/>
      <c r="D85" s="384"/>
      <c r="E85" s="374"/>
      <c r="F85" s="374"/>
      <c r="G85" s="374"/>
      <c r="H85" s="374"/>
      <c r="I85" s="374"/>
      <c r="J85" s="386"/>
      <c r="K85" s="558"/>
      <c r="L85" s="558"/>
      <c r="M85" s="386"/>
      <c r="N85" s="374"/>
      <c r="O85" s="374"/>
      <c r="P85" s="374"/>
      <c r="Q85" s="387"/>
      <c r="R85" s="374"/>
      <c r="S85" s="44"/>
      <c r="T85" s="44">
        <f t="shared" si="6"/>
        <v>33</v>
      </c>
      <c r="U85" s="44"/>
    </row>
    <row r="86" spans="1:21" ht="14.25">
      <c r="A86" s="133"/>
      <c r="B86" s="165">
        <v>4</v>
      </c>
      <c r="C86" s="379" t="s">
        <v>68</v>
      </c>
      <c r="D86" s="388"/>
      <c r="E86" s="374"/>
      <c r="F86" s="374"/>
      <c r="G86" s="374"/>
      <c r="H86" s="374"/>
      <c r="I86" s="374"/>
      <c r="J86" s="374"/>
      <c r="K86" s="374"/>
      <c r="L86" s="374"/>
      <c r="M86" s="374"/>
      <c r="N86" s="374"/>
      <c r="O86" s="374"/>
      <c r="P86" s="374"/>
      <c r="Q86" s="374"/>
      <c r="R86" s="374"/>
      <c r="S86" s="44"/>
      <c r="T86" s="44">
        <f t="shared" si="6"/>
        <v>34</v>
      </c>
      <c r="U86" s="44"/>
    </row>
    <row r="87" spans="1:21" ht="14.25">
      <c r="A87" s="133"/>
      <c r="B87" s="165"/>
      <c r="C87" s="375"/>
      <c r="D87" s="374" t="s">
        <v>71</v>
      </c>
      <c r="E87" s="389"/>
      <c r="F87" s="389"/>
      <c r="G87" s="389"/>
      <c r="H87" s="389"/>
      <c r="I87" s="389"/>
      <c r="J87" s="261" t="s">
        <v>72</v>
      </c>
      <c r="K87" s="752">
        <f>K36</f>
        <v>0.6</v>
      </c>
      <c r="L87" s="752"/>
      <c r="M87" s="390"/>
      <c r="N87" s="390"/>
      <c r="O87" s="389"/>
      <c r="P87" s="389"/>
      <c r="Q87" s="374"/>
      <c r="R87" s="374"/>
      <c r="S87" s="44"/>
      <c r="T87" s="44">
        <f t="shared" si="6"/>
        <v>35</v>
      </c>
      <c r="U87" s="44"/>
    </row>
    <row r="88" spans="1:21" ht="14.25">
      <c r="A88" s="133"/>
      <c r="B88" s="165"/>
      <c r="C88" s="375" t="s">
        <v>770</v>
      </c>
      <c r="D88" s="374" t="s">
        <v>660</v>
      </c>
      <c r="E88" s="389"/>
      <c r="F88" s="389"/>
      <c r="G88" s="389"/>
      <c r="H88" s="389"/>
      <c r="I88" s="389"/>
      <c r="J88" s="334" t="s">
        <v>661</v>
      </c>
      <c r="K88" s="750">
        <f>K37</f>
        <v>0</v>
      </c>
      <c r="L88" s="750"/>
      <c r="M88" s="390" t="s">
        <v>73</v>
      </c>
      <c r="N88" s="391"/>
      <c r="O88" s="389"/>
      <c r="P88" s="389"/>
      <c r="Q88" s="374"/>
      <c r="R88" s="374"/>
      <c r="S88" s="44"/>
      <c r="T88" s="44">
        <f t="shared" si="6"/>
        <v>36</v>
      </c>
      <c r="U88" s="44"/>
    </row>
    <row r="89" spans="1:21" ht="14.25">
      <c r="A89" s="133"/>
      <c r="B89" s="165"/>
      <c r="C89" s="374"/>
      <c r="D89" s="374"/>
      <c r="E89" s="374"/>
      <c r="F89" s="374"/>
      <c r="G89" s="374"/>
      <c r="H89" s="374"/>
      <c r="I89" s="374"/>
      <c r="J89" s="374"/>
      <c r="K89" s="374"/>
      <c r="L89" s="374"/>
      <c r="M89" s="374"/>
      <c r="N89" s="374"/>
      <c r="O89" s="374"/>
      <c r="P89" s="374"/>
      <c r="Q89" s="374"/>
      <c r="R89" s="374"/>
      <c r="S89" s="44"/>
      <c r="T89" s="44">
        <f t="shared" si="6"/>
        <v>37</v>
      </c>
      <c r="U89" s="44"/>
    </row>
    <row r="90" spans="1:21" ht="14.25">
      <c r="A90" s="133"/>
      <c r="B90" s="139" t="s">
        <v>637</v>
      </c>
      <c r="C90" s="187"/>
      <c r="D90" s="187"/>
      <c r="E90" s="374"/>
      <c r="F90" s="374"/>
      <c r="G90" s="374"/>
      <c r="H90" s="374"/>
      <c r="I90" s="392"/>
      <c r="J90" s="393"/>
      <c r="K90" s="754"/>
      <c r="L90" s="754"/>
      <c r="M90" s="187"/>
      <c r="N90" s="374"/>
      <c r="O90" s="374"/>
      <c r="P90" s="374"/>
      <c r="Q90" s="374"/>
      <c r="R90" s="374"/>
      <c r="S90" s="44"/>
      <c r="T90" s="44">
        <f t="shared" si="6"/>
        <v>38</v>
      </c>
      <c r="U90" s="44"/>
    </row>
    <row r="91" spans="1:21" ht="14.25">
      <c r="A91" s="133"/>
      <c r="B91" s="104"/>
      <c r="C91" s="95"/>
      <c r="D91" s="96"/>
      <c r="E91" s="96"/>
      <c r="F91" s="96"/>
      <c r="G91" s="96"/>
      <c r="H91" s="426" t="s">
        <v>210</v>
      </c>
      <c r="I91" s="426"/>
      <c r="J91" s="424"/>
      <c r="K91" s="426" t="s">
        <v>211</v>
      </c>
      <c r="L91" s="426"/>
      <c r="M91" s="426"/>
      <c r="N91" s="425" t="s">
        <v>212</v>
      </c>
      <c r="O91" s="426"/>
      <c r="P91" s="426"/>
      <c r="Q91" s="451" t="s">
        <v>213</v>
      </c>
      <c r="R91" s="452"/>
      <c r="S91" s="44"/>
      <c r="T91" s="44">
        <f t="shared" si="6"/>
        <v>39</v>
      </c>
      <c r="U91" s="44"/>
    </row>
    <row r="92" spans="1:21" ht="14.25">
      <c r="A92" s="133"/>
      <c r="B92" s="104"/>
      <c r="C92" s="98"/>
      <c r="D92" s="99"/>
      <c r="E92" s="99"/>
      <c r="F92" s="99"/>
      <c r="G92" s="99"/>
      <c r="H92" s="451"/>
      <c r="I92" s="453"/>
      <c r="J92" s="453"/>
      <c r="K92" s="451"/>
      <c r="L92" s="453"/>
      <c r="M92" s="452"/>
      <c r="N92" s="451"/>
      <c r="O92" s="453"/>
      <c r="P92" s="452"/>
      <c r="Q92" s="451"/>
      <c r="R92" s="452"/>
      <c r="S92" s="44"/>
      <c r="T92" s="44">
        <f t="shared" si="6"/>
        <v>40</v>
      </c>
      <c r="U92" s="44"/>
    </row>
    <row r="93" spans="1:21" ht="14.25">
      <c r="A93" s="133"/>
      <c r="B93" s="104"/>
      <c r="C93" s="101" t="s">
        <v>662</v>
      </c>
      <c r="D93" s="70"/>
      <c r="E93" s="70"/>
      <c r="F93" s="70"/>
      <c r="G93" s="70"/>
      <c r="H93" s="466">
        <f>H42</f>
        <v>0</v>
      </c>
      <c r="I93" s="467"/>
      <c r="J93" s="467"/>
      <c r="K93" s="466" t="str">
        <f>K42</f>
        <v>-</v>
      </c>
      <c r="L93" s="467"/>
      <c r="M93" s="467"/>
      <c r="N93" s="466">
        <f>N42</f>
        <v>0</v>
      </c>
      <c r="O93" s="467"/>
      <c r="P93" s="467"/>
      <c r="Q93" s="456" t="str">
        <f>Q42</f>
        <v>ＯＫ</v>
      </c>
      <c r="R93" s="472"/>
      <c r="S93" s="44"/>
      <c r="T93" s="44">
        <f t="shared" si="6"/>
        <v>41</v>
      </c>
      <c r="U93" s="44"/>
    </row>
    <row r="94" spans="1:21" ht="14.25">
      <c r="A94" s="133"/>
      <c r="B94" s="104"/>
      <c r="C94" s="98"/>
      <c r="D94" s="99"/>
      <c r="E94" s="99"/>
      <c r="F94" s="99"/>
      <c r="G94" s="99"/>
      <c r="H94" s="451"/>
      <c r="I94" s="453"/>
      <c r="J94" s="453"/>
      <c r="K94" s="473" t="str">
        <f>IF(M58=0,"","("&amp;ROUND(K95/($G$15/10000),0)&amp;" m3/ha)")</f>
        <v/>
      </c>
      <c r="L94" s="474"/>
      <c r="M94" s="475"/>
      <c r="N94" s="451"/>
      <c r="O94" s="453"/>
      <c r="P94" s="452"/>
      <c r="Q94" s="458"/>
      <c r="R94" s="460"/>
      <c r="S94" s="44"/>
      <c r="T94" s="44">
        <f t="shared" si="6"/>
        <v>42</v>
      </c>
      <c r="U94" s="44"/>
    </row>
    <row r="95" spans="1:21" ht="14.25">
      <c r="A95" s="133"/>
      <c r="B95" s="104"/>
      <c r="C95" s="101" t="s">
        <v>663</v>
      </c>
      <c r="D95" s="70"/>
      <c r="E95" s="70"/>
      <c r="F95" s="70"/>
      <c r="G95" s="70"/>
      <c r="H95" s="476" t="str">
        <f>H44</f>
        <v>-</v>
      </c>
      <c r="I95" s="477"/>
      <c r="J95" s="477"/>
      <c r="K95" s="476" t="e">
        <f>K44</f>
        <v>#VALUE!</v>
      </c>
      <c r="L95" s="477"/>
      <c r="M95" s="478"/>
      <c r="N95" s="476">
        <f>N44</f>
        <v>0</v>
      </c>
      <c r="O95" s="477"/>
      <c r="P95" s="478"/>
      <c r="Q95" s="456" t="e">
        <f>Q44</f>
        <v>#VALUE!</v>
      </c>
      <c r="R95" s="457"/>
      <c r="S95" s="44"/>
      <c r="T95" s="44">
        <f t="shared" si="6"/>
        <v>43</v>
      </c>
      <c r="U95" s="44"/>
    </row>
    <row r="96" spans="1:21" ht="14.25">
      <c r="A96" s="133"/>
      <c r="B96" s="104"/>
      <c r="C96" s="103"/>
      <c r="D96" s="30"/>
      <c r="E96" s="30"/>
      <c r="F96" s="30"/>
      <c r="G96" s="30"/>
      <c r="H96" s="458"/>
      <c r="I96" s="459"/>
      <c r="J96" s="459"/>
      <c r="K96" s="458"/>
      <c r="L96" s="459"/>
      <c r="M96" s="460"/>
      <c r="N96" s="458"/>
      <c r="O96" s="459"/>
      <c r="P96" s="460"/>
      <c r="Q96" s="458"/>
      <c r="R96" s="460"/>
      <c r="S96" s="44"/>
      <c r="T96" s="44">
        <f t="shared" si="6"/>
        <v>44</v>
      </c>
      <c r="U96" s="44"/>
    </row>
    <row r="97" spans="1:21" ht="14.25">
      <c r="A97" s="133"/>
      <c r="B97" s="104"/>
      <c r="C97" s="101" t="s">
        <v>664</v>
      </c>
      <c r="D97" s="70"/>
      <c r="E97" s="70"/>
      <c r="F97" s="70"/>
      <c r="G97" s="70"/>
      <c r="H97" s="461">
        <f>H46</f>
        <v>0</v>
      </c>
      <c r="I97" s="462"/>
      <c r="J97" s="462"/>
      <c r="K97" s="463" t="str">
        <f>K46</f>
        <v>-</v>
      </c>
      <c r="L97" s="464"/>
      <c r="M97" s="465"/>
      <c r="N97" s="461" t="e">
        <f>N46</f>
        <v>#VALUE!</v>
      </c>
      <c r="O97" s="462"/>
      <c r="P97" s="462"/>
      <c r="Q97" s="456" t="e">
        <f>Q46</f>
        <v>#VALUE!</v>
      </c>
      <c r="R97" s="457"/>
      <c r="S97" s="44"/>
      <c r="T97" s="44">
        <f t="shared" si="6"/>
        <v>45</v>
      </c>
      <c r="U97" s="44"/>
    </row>
    <row r="98" spans="1:21" ht="14.25">
      <c r="A98" s="133"/>
      <c r="B98" s="104"/>
      <c r="C98" s="103"/>
      <c r="D98" s="30"/>
      <c r="E98" s="30"/>
      <c r="F98" s="30"/>
      <c r="G98" s="30"/>
      <c r="H98" s="458"/>
      <c r="I98" s="459"/>
      <c r="J98" s="459"/>
      <c r="K98" s="458"/>
      <c r="L98" s="459"/>
      <c r="M98" s="460"/>
      <c r="N98" s="451"/>
      <c r="O98" s="453"/>
      <c r="P98" s="452"/>
      <c r="Q98" s="458"/>
      <c r="R98" s="460"/>
      <c r="S98" s="44"/>
      <c r="T98" s="44">
        <f t="shared" si="6"/>
        <v>46</v>
      </c>
      <c r="U98" s="44"/>
    </row>
    <row r="99" spans="1:21" ht="14.25">
      <c r="A99" s="133"/>
      <c r="B99" s="104"/>
      <c r="C99" s="101" t="s">
        <v>665</v>
      </c>
      <c r="D99" s="70"/>
      <c r="E99" s="70"/>
      <c r="F99" s="70"/>
      <c r="G99" s="70"/>
      <c r="H99" s="463" t="e">
        <f>H48</f>
        <v>#VALUE!</v>
      </c>
      <c r="I99" s="464"/>
      <c r="J99" s="464"/>
      <c r="K99" s="463">
        <f>K48</f>
        <v>30</v>
      </c>
      <c r="L99" s="464"/>
      <c r="M99" s="465"/>
      <c r="N99" s="463" t="e">
        <f>N48</f>
        <v>#VALUE!</v>
      </c>
      <c r="O99" s="464"/>
      <c r="P99" s="465"/>
      <c r="Q99" s="456" t="e">
        <f>Q48</f>
        <v>#VALUE!</v>
      </c>
      <c r="R99" s="457"/>
      <c r="S99" s="44"/>
      <c r="T99" s="44">
        <f t="shared" si="6"/>
        <v>47</v>
      </c>
      <c r="U99" s="44"/>
    </row>
    <row r="100" spans="1:21" ht="14.25">
      <c r="A100" s="133"/>
      <c r="B100" s="104"/>
      <c r="C100" s="98"/>
      <c r="D100" s="99"/>
      <c r="E100" s="99"/>
      <c r="F100" s="99"/>
      <c r="G100" s="99"/>
      <c r="H100" s="451"/>
      <c r="I100" s="453"/>
      <c r="J100" s="453"/>
      <c r="K100" s="451"/>
      <c r="L100" s="453"/>
      <c r="M100" s="452"/>
      <c r="N100" s="451"/>
      <c r="O100" s="453"/>
      <c r="P100" s="452"/>
      <c r="Q100" s="451"/>
      <c r="R100" s="452"/>
      <c r="S100" s="44"/>
      <c r="T100" s="44">
        <f t="shared" si="6"/>
        <v>48</v>
      </c>
      <c r="U100" s="44"/>
    </row>
    <row r="101" spans="1:21" ht="14.25">
      <c r="A101" s="133"/>
      <c r="B101" s="104"/>
      <c r="C101" s="756" t="s">
        <v>666</v>
      </c>
      <c r="D101" s="757"/>
      <c r="E101" s="757"/>
      <c r="F101" s="757"/>
      <c r="G101" s="758"/>
      <c r="H101" s="466">
        <f>H50</f>
        <v>0</v>
      </c>
      <c r="I101" s="467"/>
      <c r="J101" s="467"/>
      <c r="K101" s="466" t="str">
        <f>K50</f>
        <v>-</v>
      </c>
      <c r="L101" s="467"/>
      <c r="M101" s="467"/>
      <c r="N101" s="466" t="e">
        <f>N50</f>
        <v>#VALUE!</v>
      </c>
      <c r="O101" s="467"/>
      <c r="P101" s="468"/>
      <c r="Q101" s="456" t="e">
        <f>Q50</f>
        <v>#VALUE!</v>
      </c>
      <c r="R101" s="457"/>
      <c r="S101" s="44"/>
      <c r="T101" s="44">
        <f t="shared" si="6"/>
        <v>49</v>
      </c>
      <c r="U101" s="44"/>
    </row>
    <row r="102" spans="1:21" ht="14.25">
      <c r="A102" s="133"/>
      <c r="B102" s="44"/>
      <c r="C102" s="44"/>
      <c r="D102" s="44"/>
      <c r="E102" s="44"/>
      <c r="F102" s="44"/>
      <c r="G102" s="44"/>
      <c r="H102" s="44"/>
      <c r="I102" s="44"/>
      <c r="J102" s="44"/>
      <c r="K102" s="44"/>
      <c r="L102" s="44"/>
      <c r="M102" s="44"/>
      <c r="N102" s="44"/>
      <c r="O102" s="44"/>
      <c r="P102" s="44"/>
      <c r="Q102" s="44"/>
      <c r="R102" s="44"/>
      <c r="S102" s="44"/>
      <c r="T102" s="44">
        <f t="shared" si="6"/>
        <v>50</v>
      </c>
      <c r="U102" s="44"/>
    </row>
    <row r="103" spans="1:21" ht="14.25">
      <c r="A103" s="133"/>
      <c r="B103" s="44"/>
      <c r="C103" s="44"/>
      <c r="D103" s="44"/>
      <c r="E103" s="44"/>
      <c r="F103" s="44"/>
      <c r="G103" s="44"/>
      <c r="H103" s="44"/>
      <c r="I103" s="44"/>
      <c r="J103" s="44"/>
      <c r="K103" s="44"/>
      <c r="L103" s="44"/>
      <c r="M103" s="44"/>
      <c r="N103" s="44"/>
      <c r="O103" s="44"/>
      <c r="P103" s="44"/>
      <c r="Q103" s="44"/>
      <c r="R103" s="44"/>
      <c r="S103" s="44"/>
      <c r="T103" s="44">
        <f t="shared" si="6"/>
        <v>51</v>
      </c>
      <c r="U103" s="44"/>
    </row>
    <row r="104" spans="1:21" ht="14.25">
      <c r="A104" s="134" t="s">
        <v>96</v>
      </c>
      <c r="B104" s="30"/>
      <c r="C104" s="30"/>
      <c r="D104" s="30"/>
      <c r="E104" s="30"/>
      <c r="F104" s="30"/>
      <c r="G104" s="30"/>
      <c r="H104" s="30"/>
      <c r="I104" s="30"/>
      <c r="J104" s="30"/>
      <c r="K104" s="30"/>
      <c r="L104" s="30"/>
      <c r="M104" s="30"/>
      <c r="N104" s="30"/>
      <c r="O104" s="30"/>
      <c r="P104" s="30"/>
      <c r="Q104" s="30"/>
      <c r="R104" s="30"/>
      <c r="S104" s="30"/>
      <c r="T104" s="44">
        <v>1</v>
      </c>
      <c r="U104" s="44"/>
    </row>
    <row r="105" spans="1:21" ht="14.25">
      <c r="A105" s="30"/>
      <c r="B105" s="38" t="str">
        <f>"  　洪水の規模が年超過確率で "&amp;IF(AR65="年超過確率 1/50","1/50",IF(AR65="年超過確率 1/30","1/30",IF(AR65="年超過確率 1/10","1/10",IF(AR65="年超過確率 1/5(長期)","1/5(長期)",IF(AR65="年超過確率 1/5(短期)","1/5(短期)","")))))&amp;" 以下のすべての洪水について開発後における"</f>
        <v xml:space="preserve">  　洪水の規模が年超過確率で 1/10 以下のすべての洪水について開発後における</v>
      </c>
      <c r="C105" s="38"/>
      <c r="D105" s="38"/>
      <c r="E105" s="38"/>
      <c r="F105" s="30"/>
      <c r="G105" s="30"/>
      <c r="H105" s="30"/>
      <c r="I105" s="54"/>
      <c r="J105" s="54"/>
      <c r="K105" s="54"/>
      <c r="L105" s="38"/>
      <c r="M105" s="55"/>
      <c r="N105" s="44"/>
      <c r="O105" s="38"/>
      <c r="P105" s="38"/>
      <c r="Q105" s="38"/>
      <c r="R105" s="30"/>
      <c r="S105" s="30"/>
      <c r="T105" s="44">
        <f t="shared" ref="T105" si="12">T104+1</f>
        <v>2</v>
      </c>
      <c r="U105" s="44"/>
    </row>
    <row r="106" spans="1:21" ht="14.25">
      <c r="A106" s="30"/>
      <c r="B106" s="38" t="str">
        <f>" 洪水のピーク流量の値を "&amp;"許容放流量"&amp;" の値まで調整する。"</f>
        <v xml:space="preserve"> 洪水のピーク流量の値を 許容放流量 の値まで調整する。</v>
      </c>
      <c r="C106" s="38"/>
      <c r="D106" s="38"/>
      <c r="E106" s="38"/>
      <c r="F106" s="30"/>
      <c r="G106" s="30"/>
      <c r="H106" s="30"/>
      <c r="I106" s="30"/>
      <c r="J106" s="30"/>
      <c r="K106" s="30"/>
      <c r="L106" s="30"/>
      <c r="M106" s="30"/>
      <c r="N106" s="30"/>
      <c r="O106" s="30"/>
      <c r="P106" s="30"/>
      <c r="Q106" s="30"/>
      <c r="R106" s="30"/>
      <c r="S106" s="30"/>
      <c r="T106" s="44">
        <f t="shared" ref="T106" si="13">T105+1</f>
        <v>3</v>
      </c>
      <c r="U106" s="44"/>
    </row>
    <row r="107" spans="1:21" ht="14.25">
      <c r="A107" s="30"/>
      <c r="B107" s="38" t="str">
        <f>"  　抑制施設の容量は、 "&amp;IF(AR65="年超過確率 1/50","1/50",IF(AR65="年超過確率 1/30","1/30",IF(AR65="年超過確率 1/10","1/10",IF(AR65="年超過確率 1/5(長期)","1/5(長期)",IF(AR65="年超過確率 1/5(短期)","1/5(短期)","")))))&amp;" 確率降雨強度曲線を用いて求める次式の必要洪水調整"</f>
        <v xml:space="preserve">  　抑制施設の容量は、 1/10 確率降雨強度曲線を用いて求める次式の必要洪水調整</v>
      </c>
      <c r="C107" s="38"/>
      <c r="D107" s="38"/>
      <c r="E107" s="38"/>
      <c r="F107" s="30"/>
      <c r="G107" s="30"/>
      <c r="H107" s="30"/>
      <c r="I107" s="54"/>
      <c r="J107" s="54"/>
      <c r="K107" s="54"/>
      <c r="L107" s="38"/>
      <c r="M107" s="55"/>
      <c r="N107" s="44"/>
      <c r="O107" s="38"/>
      <c r="P107" s="38"/>
      <c r="Q107" s="38"/>
      <c r="R107" s="30"/>
      <c r="S107" s="30"/>
      <c r="T107" s="44">
        <f t="shared" ref="T107" si="14">T106+1</f>
        <v>4</v>
      </c>
      <c r="U107" s="44"/>
    </row>
    <row r="108" spans="1:21" ht="14.25">
      <c r="A108" s="30"/>
      <c r="B108" s="38" t="s">
        <v>471</v>
      </c>
      <c r="C108" s="38"/>
      <c r="D108" s="38"/>
      <c r="E108" s="38"/>
      <c r="F108" s="30"/>
      <c r="G108" s="30"/>
      <c r="H108" s="30"/>
      <c r="I108" s="30"/>
      <c r="J108" s="30"/>
      <c r="K108" s="30"/>
      <c r="L108" s="30"/>
      <c r="M108" s="30"/>
      <c r="N108" s="30"/>
      <c r="O108" s="30"/>
      <c r="P108" s="30"/>
      <c r="Q108" s="30"/>
      <c r="R108" s="30"/>
      <c r="S108" s="30"/>
      <c r="T108" s="44">
        <f t="shared" ref="T108:T114" si="15">T107+1</f>
        <v>5</v>
      </c>
      <c r="U108" s="44"/>
    </row>
    <row r="109" spans="1:21" ht="14.25">
      <c r="A109" s="30"/>
      <c r="B109" s="41"/>
      <c r="C109" s="41"/>
      <c r="D109" s="41"/>
      <c r="E109" s="41"/>
      <c r="F109" s="41"/>
      <c r="G109" s="31"/>
      <c r="H109" s="344"/>
      <c r="I109" s="31"/>
      <c r="J109" s="31"/>
      <c r="K109" s="31"/>
      <c r="L109" s="31"/>
      <c r="M109" s="31"/>
      <c r="N109" s="31"/>
      <c r="O109" s="31"/>
      <c r="P109" s="344"/>
      <c r="Q109" s="31"/>
      <c r="R109" s="30"/>
      <c r="S109" s="30"/>
      <c r="T109" s="44">
        <f t="shared" si="15"/>
        <v>6</v>
      </c>
      <c r="U109" s="44"/>
    </row>
    <row r="110" spans="1:21" ht="14.25">
      <c r="A110" s="30"/>
      <c r="B110" s="41"/>
      <c r="C110" s="41"/>
      <c r="D110" s="41"/>
      <c r="E110" s="41"/>
      <c r="F110" s="41"/>
      <c r="G110" s="31"/>
      <c r="H110" s="344"/>
      <c r="I110" s="31"/>
      <c r="J110" s="31"/>
      <c r="K110" s="31"/>
      <c r="L110" s="31"/>
      <c r="M110" s="31"/>
      <c r="N110" s="31"/>
      <c r="O110" s="31"/>
      <c r="P110" s="344"/>
      <c r="Q110" s="31"/>
      <c r="R110" s="30"/>
      <c r="S110" s="30"/>
      <c r="T110" s="44">
        <f t="shared" si="15"/>
        <v>7</v>
      </c>
      <c r="U110" s="44"/>
    </row>
    <row r="111" spans="1:21" ht="14.25">
      <c r="A111" s="30"/>
      <c r="B111" s="41"/>
      <c r="C111" s="41"/>
      <c r="D111" s="41"/>
      <c r="E111" s="41"/>
      <c r="F111" s="41"/>
      <c r="G111" s="31"/>
      <c r="H111" s="344"/>
      <c r="I111" s="31"/>
      <c r="J111" s="31"/>
      <c r="K111" s="31"/>
      <c r="L111" s="31"/>
      <c r="M111" s="31"/>
      <c r="N111" s="31"/>
      <c r="O111" s="31"/>
      <c r="P111" s="344"/>
      <c r="Q111" s="289"/>
      <c r="R111" s="30"/>
      <c r="S111" s="30"/>
      <c r="T111" s="44">
        <f t="shared" si="15"/>
        <v>8</v>
      </c>
      <c r="U111" s="44"/>
    </row>
    <row r="112" spans="1:21" ht="14.25">
      <c r="A112" s="30"/>
      <c r="B112" s="41"/>
      <c r="C112" s="41"/>
      <c r="D112" s="41"/>
      <c r="E112" s="41"/>
      <c r="F112" s="41"/>
      <c r="G112" s="31"/>
      <c r="H112" s="344"/>
      <c r="I112" s="31"/>
      <c r="J112" s="31"/>
      <c r="K112" s="31"/>
      <c r="L112" s="31"/>
      <c r="M112" s="31"/>
      <c r="N112" s="31"/>
      <c r="O112" s="31"/>
      <c r="P112" s="344"/>
      <c r="Q112" s="289"/>
      <c r="R112" s="30"/>
      <c r="S112" s="30"/>
      <c r="T112" s="44">
        <f t="shared" si="15"/>
        <v>9</v>
      </c>
      <c r="U112" s="44"/>
    </row>
    <row r="113" spans="1:21" ht="14.25">
      <c r="A113" s="30"/>
      <c r="B113" s="44"/>
      <c r="C113" s="44" t="s">
        <v>100</v>
      </c>
      <c r="D113" s="46"/>
      <c r="E113" s="47" t="s">
        <v>446</v>
      </c>
      <c r="F113" s="285" t="s">
        <v>102</v>
      </c>
      <c r="G113" s="30" t="s">
        <v>447</v>
      </c>
      <c r="H113" s="30"/>
      <c r="I113" s="30"/>
      <c r="J113" s="30"/>
      <c r="K113" s="30"/>
      <c r="L113" s="30"/>
      <c r="M113" s="30"/>
      <c r="N113" s="30"/>
      <c r="O113" s="30"/>
      <c r="P113" s="30"/>
      <c r="Q113" s="30"/>
      <c r="R113" s="30"/>
      <c r="S113" s="30"/>
      <c r="T113" s="44">
        <f t="shared" si="15"/>
        <v>10</v>
      </c>
      <c r="U113" s="44"/>
    </row>
    <row r="114" spans="1:21" ht="14.25">
      <c r="A114" s="30"/>
      <c r="B114" s="44"/>
      <c r="C114" s="44"/>
      <c r="D114" s="46"/>
      <c r="E114" s="47" t="s">
        <v>83</v>
      </c>
      <c r="F114" s="240" t="s">
        <v>102</v>
      </c>
      <c r="G114" s="54" t="str">
        <f>IF(AR65="年超過確率 1/50","1/50",IF(AR65="年超過確率 1/30","1/30",IF(AR65="年超過確率 1/10","1/10",IF(AR65="年超過確率 1/5(長期)","1/5(長期)",IF(AR65="年超過確率 1/5(短期)","1/5(短期)","")))))&amp;" 年確率降雨強度曲線上の任意の継続時間（ti）"</f>
        <v>1/10 年確率降雨強度曲線上の任意の継続時間（ti）</v>
      </c>
      <c r="H114" s="54"/>
      <c r="I114" s="54"/>
      <c r="J114" s="38"/>
      <c r="K114" s="38"/>
      <c r="L114" s="38"/>
      <c r="M114" s="38"/>
      <c r="N114" s="30"/>
      <c r="O114" s="30"/>
      <c r="P114" s="30"/>
      <c r="Q114" s="30"/>
      <c r="R114" s="30"/>
      <c r="S114" s="30"/>
      <c r="T114" s="44">
        <f t="shared" si="15"/>
        <v>11</v>
      </c>
      <c r="U114" s="44"/>
    </row>
    <row r="115" spans="1:21" ht="14.25">
      <c r="A115" s="30"/>
      <c r="B115" s="44"/>
      <c r="C115" s="44"/>
      <c r="D115" s="49"/>
      <c r="E115" s="50"/>
      <c r="F115" s="240"/>
      <c r="G115" s="38" t="s">
        <v>103</v>
      </c>
      <c r="H115" s="38"/>
      <c r="I115" s="30"/>
      <c r="J115" s="30"/>
      <c r="K115" s="30"/>
      <c r="L115" s="30"/>
      <c r="M115" s="30"/>
      <c r="N115" s="30"/>
      <c r="O115" s="30"/>
      <c r="P115" s="30"/>
      <c r="Q115" s="30"/>
      <c r="R115" s="30"/>
      <c r="S115" s="30"/>
      <c r="T115" s="44">
        <f t="shared" ref="T115:T121" si="16">T114+1</f>
        <v>12</v>
      </c>
      <c r="U115" s="44"/>
    </row>
    <row r="116" spans="1:21" ht="14.25">
      <c r="A116" s="30"/>
      <c r="B116" s="44"/>
      <c r="C116" s="44"/>
      <c r="D116" s="46"/>
      <c r="E116" s="47" t="s">
        <v>98</v>
      </c>
      <c r="F116" s="240" t="s">
        <v>102</v>
      </c>
      <c r="G116" s="30" t="s">
        <v>739</v>
      </c>
      <c r="H116" s="30"/>
      <c r="I116" s="30"/>
      <c r="J116" s="30"/>
      <c r="K116" s="30"/>
      <c r="L116" s="30"/>
      <c r="M116" s="30"/>
      <c r="N116" s="30"/>
      <c r="O116" s="30"/>
      <c r="P116" s="44"/>
      <c r="Q116" s="30"/>
      <c r="R116" s="30"/>
      <c r="S116" s="30"/>
      <c r="T116" s="44">
        <f t="shared" si="16"/>
        <v>13</v>
      </c>
      <c r="U116" s="44"/>
    </row>
    <row r="117" spans="1:21" ht="16.5">
      <c r="A117" s="30"/>
      <c r="B117" s="30"/>
      <c r="C117" s="30"/>
      <c r="D117" s="30"/>
      <c r="E117" s="47" t="s">
        <v>104</v>
      </c>
      <c r="F117" s="240" t="s">
        <v>102</v>
      </c>
      <c r="G117" s="30" t="s">
        <v>509</v>
      </c>
      <c r="H117" s="30"/>
      <c r="I117" s="30"/>
      <c r="J117" s="30"/>
      <c r="K117" s="30"/>
      <c r="L117" s="44"/>
      <c r="M117" s="30"/>
      <c r="N117" s="30"/>
      <c r="O117" s="30"/>
      <c r="P117" s="30"/>
      <c r="Q117" s="30"/>
      <c r="R117" s="30"/>
      <c r="S117" s="30"/>
      <c r="T117" s="44">
        <f t="shared" si="16"/>
        <v>14</v>
      </c>
      <c r="U117" s="44"/>
    </row>
    <row r="118" spans="1:21" ht="14.25">
      <c r="A118" s="30"/>
      <c r="B118" s="30"/>
      <c r="C118" s="30"/>
      <c r="D118" s="30"/>
      <c r="E118" s="47" t="s">
        <v>99</v>
      </c>
      <c r="F118" s="240" t="s">
        <v>102</v>
      </c>
      <c r="G118" s="51" t="s">
        <v>740</v>
      </c>
      <c r="H118" s="51"/>
      <c r="I118" s="51"/>
      <c r="J118" s="30"/>
      <c r="K118" s="30"/>
      <c r="L118" s="30"/>
      <c r="M118" s="30"/>
      <c r="N118" s="30"/>
      <c r="O118" s="30"/>
      <c r="P118" s="30"/>
      <c r="Q118" s="30"/>
      <c r="R118" s="30"/>
      <c r="S118" s="30"/>
      <c r="T118" s="44">
        <f t="shared" si="16"/>
        <v>15</v>
      </c>
      <c r="U118" s="44"/>
    </row>
    <row r="119" spans="1:21" ht="16.5">
      <c r="A119" s="30"/>
      <c r="B119" s="30"/>
      <c r="C119" s="30"/>
      <c r="D119" s="30"/>
      <c r="E119" s="47" t="s">
        <v>105</v>
      </c>
      <c r="F119" s="240" t="s">
        <v>102</v>
      </c>
      <c r="G119" s="30" t="s">
        <v>106</v>
      </c>
      <c r="H119" s="30"/>
      <c r="I119" s="30"/>
      <c r="J119" s="30"/>
      <c r="K119" s="30"/>
      <c r="L119" s="44"/>
      <c r="M119" s="30"/>
      <c r="N119" s="30"/>
      <c r="O119" s="30"/>
      <c r="P119" s="30"/>
      <c r="Q119" s="30"/>
      <c r="R119" s="30"/>
      <c r="S119" s="30"/>
      <c r="T119" s="44">
        <f t="shared" si="16"/>
        <v>16</v>
      </c>
      <c r="U119" s="44"/>
    </row>
    <row r="120" spans="1:21" ht="14.25">
      <c r="A120" s="30"/>
      <c r="B120" s="44"/>
      <c r="C120" s="44"/>
      <c r="D120" s="46"/>
      <c r="E120" s="47" t="s">
        <v>84</v>
      </c>
      <c r="F120" s="240" t="s">
        <v>102</v>
      </c>
      <c r="G120" s="30" t="s">
        <v>510</v>
      </c>
      <c r="H120" s="30"/>
      <c r="I120" s="30"/>
      <c r="J120" s="30"/>
      <c r="K120" s="30"/>
      <c r="L120" s="30"/>
      <c r="M120" s="30"/>
      <c r="N120" s="30"/>
      <c r="O120" s="30"/>
      <c r="P120" s="30"/>
      <c r="Q120" s="30"/>
      <c r="R120" s="30"/>
      <c r="S120" s="30"/>
      <c r="T120" s="44">
        <f t="shared" si="16"/>
        <v>17</v>
      </c>
      <c r="U120" s="44"/>
    </row>
    <row r="121" spans="1:21" ht="14.25">
      <c r="A121" s="30"/>
      <c r="B121" s="44"/>
      <c r="C121" s="44"/>
      <c r="D121" s="46"/>
      <c r="E121" s="47" t="s">
        <v>107</v>
      </c>
      <c r="F121" s="240" t="s">
        <v>102</v>
      </c>
      <c r="G121" s="30" t="s">
        <v>108</v>
      </c>
      <c r="H121" s="30"/>
      <c r="I121" s="30"/>
      <c r="J121" s="30"/>
      <c r="K121" s="30"/>
      <c r="L121" s="30"/>
      <c r="M121" s="30"/>
      <c r="N121" s="30"/>
      <c r="O121" s="30"/>
      <c r="P121" s="30"/>
      <c r="Q121" s="30"/>
      <c r="R121" s="30"/>
      <c r="S121" s="30"/>
      <c r="T121" s="44">
        <f t="shared" si="16"/>
        <v>18</v>
      </c>
      <c r="U121" s="44"/>
    </row>
    <row r="122" spans="1:21" ht="14.25">
      <c r="A122" s="30"/>
      <c r="B122" s="44"/>
      <c r="C122" s="44"/>
      <c r="D122" s="46"/>
      <c r="E122" s="47" t="s">
        <v>77</v>
      </c>
      <c r="F122" s="240" t="s">
        <v>102</v>
      </c>
      <c r="G122" s="30" t="s">
        <v>109</v>
      </c>
      <c r="H122" s="30"/>
      <c r="I122" s="30"/>
      <c r="J122" s="30"/>
      <c r="K122" s="30"/>
      <c r="L122" s="30"/>
      <c r="M122" s="30"/>
      <c r="N122" s="30"/>
      <c r="O122" s="30"/>
      <c r="P122" s="30"/>
      <c r="Q122" s="30"/>
      <c r="R122" s="30"/>
      <c r="S122" s="30"/>
      <c r="T122" s="44">
        <f t="shared" ref="T122:T127" si="17">T121+1</f>
        <v>19</v>
      </c>
      <c r="U122" s="44"/>
    </row>
    <row r="123" spans="1:21" ht="14.25">
      <c r="A123" s="30"/>
      <c r="B123" s="501"/>
      <c r="C123" s="501"/>
      <c r="D123" s="501"/>
      <c r="E123" s="501"/>
      <c r="F123" s="501"/>
      <c r="G123" s="429"/>
      <c r="H123" s="288"/>
      <c r="I123" s="432"/>
      <c r="J123" s="432"/>
      <c r="K123" s="432"/>
      <c r="L123" s="432"/>
      <c r="M123" s="432"/>
      <c r="N123" s="432"/>
      <c r="O123" s="432"/>
      <c r="P123" s="288"/>
      <c r="Q123" s="289"/>
      <c r="R123" s="30"/>
      <c r="S123" s="30"/>
      <c r="T123" s="44">
        <f t="shared" si="17"/>
        <v>20</v>
      </c>
      <c r="U123" s="44"/>
    </row>
    <row r="124" spans="1:21" ht="14.25">
      <c r="A124" s="30"/>
      <c r="B124" s="501"/>
      <c r="C124" s="501"/>
      <c r="D124" s="501"/>
      <c r="E124" s="501"/>
      <c r="F124" s="501"/>
      <c r="G124" s="429"/>
      <c r="H124" s="288"/>
      <c r="I124" s="432"/>
      <c r="J124" s="432"/>
      <c r="K124" s="432"/>
      <c r="L124" s="432"/>
      <c r="M124" s="432"/>
      <c r="N124" s="432"/>
      <c r="O124" s="432"/>
      <c r="P124" s="288"/>
      <c r="Q124" s="289"/>
      <c r="R124" s="30"/>
      <c r="S124" s="30"/>
      <c r="T124" s="44">
        <f t="shared" si="17"/>
        <v>21</v>
      </c>
      <c r="U124" s="44"/>
    </row>
    <row r="125" spans="1:21" ht="14.25">
      <c r="A125" s="30"/>
      <c r="B125" s="44"/>
      <c r="C125" s="44" t="s">
        <v>100</v>
      </c>
      <c r="D125" s="46"/>
      <c r="E125" s="47" t="s">
        <v>448</v>
      </c>
      <c r="F125" s="285" t="s">
        <v>102</v>
      </c>
      <c r="G125" s="30" t="s">
        <v>451</v>
      </c>
      <c r="H125" s="30"/>
      <c r="I125" s="30"/>
      <c r="J125" s="30"/>
      <c r="K125" s="30"/>
      <c r="L125" s="30"/>
      <c r="M125" s="30"/>
      <c r="N125" s="30"/>
      <c r="O125" s="30"/>
      <c r="P125" s="30"/>
      <c r="Q125" s="30"/>
      <c r="R125" s="30"/>
      <c r="S125" s="30"/>
      <c r="T125" s="44">
        <f t="shared" si="17"/>
        <v>22</v>
      </c>
      <c r="U125" s="44"/>
    </row>
    <row r="126" spans="1:21" ht="14.25">
      <c r="A126" s="30"/>
      <c r="B126" s="44"/>
      <c r="C126" s="44"/>
      <c r="D126" s="46"/>
      <c r="E126" s="47" t="s">
        <v>449</v>
      </c>
      <c r="F126" s="285" t="s">
        <v>102</v>
      </c>
      <c r="G126" s="30" t="s">
        <v>452</v>
      </c>
      <c r="H126" s="30"/>
      <c r="I126" s="30"/>
      <c r="J126" s="30"/>
      <c r="K126" s="555">
        <f>AS61</f>
        <v>15</v>
      </c>
      <c r="L126" s="555"/>
      <c r="M126" s="30" t="s">
        <v>198</v>
      </c>
      <c r="N126" s="30"/>
      <c r="O126" s="91" t="s">
        <v>91</v>
      </c>
      <c r="P126" s="30"/>
      <c r="Q126" s="30"/>
      <c r="R126" s="120"/>
      <c r="S126" s="30"/>
      <c r="T126" s="44">
        <f t="shared" si="17"/>
        <v>23</v>
      </c>
      <c r="U126" s="44"/>
    </row>
    <row r="127" spans="1:21" ht="14.25" customHeight="1">
      <c r="A127" s="30"/>
      <c r="B127" s="44"/>
      <c r="C127" s="44"/>
      <c r="D127" s="46"/>
      <c r="E127" s="47"/>
      <c r="F127" s="240"/>
      <c r="G127" s="30"/>
      <c r="H127" s="30"/>
      <c r="I127" s="30"/>
      <c r="J127" s="30"/>
      <c r="K127" s="30"/>
      <c r="L127" s="30"/>
      <c r="M127" s="30"/>
      <c r="N127" s="30"/>
      <c r="O127" s="30"/>
      <c r="P127" s="30"/>
      <c r="Q127" s="30"/>
      <c r="R127" s="30"/>
      <c r="S127" s="30"/>
      <c r="T127" s="44">
        <f t="shared" si="17"/>
        <v>24</v>
      </c>
      <c r="U127" s="44"/>
    </row>
    <row r="128" spans="1:21" ht="14.25">
      <c r="A128" s="134" t="s">
        <v>390</v>
      </c>
      <c r="B128" s="30"/>
      <c r="C128" s="30"/>
      <c r="D128" s="30"/>
      <c r="E128" s="30"/>
      <c r="F128" s="30"/>
      <c r="G128" s="30"/>
      <c r="H128" s="30"/>
      <c r="I128" s="30"/>
      <c r="J128" s="30"/>
      <c r="K128" s="30"/>
      <c r="L128" s="30"/>
      <c r="M128" s="30"/>
      <c r="N128" s="30"/>
      <c r="O128" s="30"/>
      <c r="P128" s="30"/>
      <c r="Q128" s="30"/>
      <c r="R128" s="30"/>
      <c r="S128" s="30"/>
      <c r="T128" s="44">
        <f t="shared" ref="T128" si="18">T127+1</f>
        <v>25</v>
      </c>
      <c r="U128" s="44"/>
    </row>
    <row r="129" spans="1:21" ht="14.25">
      <c r="A129" s="30"/>
      <c r="B129" s="30"/>
      <c r="C129" s="50" t="s">
        <v>110</v>
      </c>
      <c r="D129" s="52"/>
      <c r="E129" s="30"/>
      <c r="F129" s="30"/>
      <c r="G129" s="30"/>
      <c r="H129" s="30"/>
      <c r="I129" s="30"/>
      <c r="J129" s="30"/>
      <c r="K129" s="30"/>
      <c r="L129" s="30"/>
      <c r="M129" s="30"/>
      <c r="N129" s="30"/>
      <c r="O129" s="30"/>
      <c r="P129" s="30"/>
      <c r="Q129" s="30"/>
      <c r="R129" s="30"/>
      <c r="S129" s="30"/>
      <c r="T129" s="44">
        <f t="shared" ref="T129" si="19">T128+1</f>
        <v>26</v>
      </c>
      <c r="U129" s="44"/>
    </row>
    <row r="130" spans="1:21" ht="14.25">
      <c r="A130" s="30"/>
      <c r="B130" s="36"/>
      <c r="C130" s="549" t="s">
        <v>111</v>
      </c>
      <c r="D130" s="550"/>
      <c r="E130" s="550"/>
      <c r="F130" s="550"/>
      <c r="G130" s="550"/>
      <c r="H130" s="549" t="s">
        <v>112</v>
      </c>
      <c r="I130" s="549"/>
      <c r="J130" s="549"/>
      <c r="K130" s="550" t="s">
        <v>113</v>
      </c>
      <c r="L130" s="550"/>
      <c r="M130" s="550"/>
      <c r="N130" s="426" t="s">
        <v>27</v>
      </c>
      <c r="O130" s="426"/>
      <c r="P130" s="426"/>
      <c r="Q130" s="426"/>
      <c r="R130" s="426"/>
      <c r="S130" s="38"/>
      <c r="T130" s="44">
        <f t="shared" ref="T130" si="20">T129+1</f>
        <v>27</v>
      </c>
      <c r="U130" s="44"/>
    </row>
    <row r="131" spans="1:21" ht="14.25">
      <c r="A131" s="30"/>
      <c r="B131" s="36"/>
      <c r="C131" s="488">
        <f t="shared" ref="C131:C136" si="21">D9</f>
        <v>0</v>
      </c>
      <c r="D131" s="488"/>
      <c r="E131" s="488"/>
      <c r="F131" s="489">
        <f t="shared" ref="F131:F136" si="22">G9/10000</f>
        <v>0</v>
      </c>
      <c r="G131" s="489"/>
      <c r="H131" s="490" t="str">
        <f t="shared" ref="H131:H136" si="23">J9</f>
        <v/>
      </c>
      <c r="I131" s="491"/>
      <c r="J131" s="492"/>
      <c r="K131" s="554">
        <f t="shared" ref="K131:K136" si="24">IF(L9="",0,L9/10000)</f>
        <v>0</v>
      </c>
      <c r="L131" s="554"/>
      <c r="M131" s="554"/>
      <c r="N131" s="547">
        <f t="shared" ref="N131:N136" si="25">N9</f>
        <v>0</v>
      </c>
      <c r="O131" s="547"/>
      <c r="P131" s="547"/>
      <c r="Q131" s="547"/>
      <c r="R131" s="547"/>
      <c r="S131" s="61"/>
      <c r="T131" s="44">
        <f t="shared" ref="T131" si="26">T130+1</f>
        <v>28</v>
      </c>
      <c r="U131" s="44"/>
    </row>
    <row r="132" spans="1:21" ht="14.25">
      <c r="A132" s="30"/>
      <c r="B132" s="36"/>
      <c r="C132" s="538">
        <f t="shared" si="21"/>
        <v>0</v>
      </c>
      <c r="D132" s="538"/>
      <c r="E132" s="538"/>
      <c r="F132" s="539">
        <f t="shared" si="22"/>
        <v>0</v>
      </c>
      <c r="G132" s="539"/>
      <c r="H132" s="540" t="str">
        <f t="shared" si="23"/>
        <v/>
      </c>
      <c r="I132" s="469"/>
      <c r="J132" s="541"/>
      <c r="K132" s="553">
        <f t="shared" si="24"/>
        <v>0</v>
      </c>
      <c r="L132" s="553"/>
      <c r="M132" s="553"/>
      <c r="N132" s="543">
        <f t="shared" si="25"/>
        <v>0</v>
      </c>
      <c r="O132" s="543"/>
      <c r="P132" s="543"/>
      <c r="Q132" s="543"/>
      <c r="R132" s="543"/>
      <c r="S132" s="61"/>
      <c r="T132" s="44">
        <f t="shared" ref="T132" si="27">T131+1</f>
        <v>29</v>
      </c>
      <c r="U132" s="44"/>
    </row>
    <row r="133" spans="1:21" ht="14.25">
      <c r="A133" s="30"/>
      <c r="B133" s="36"/>
      <c r="C133" s="538">
        <f t="shared" si="21"/>
        <v>0</v>
      </c>
      <c r="D133" s="538"/>
      <c r="E133" s="538"/>
      <c r="F133" s="539">
        <f t="shared" si="22"/>
        <v>0</v>
      </c>
      <c r="G133" s="539"/>
      <c r="H133" s="540" t="str">
        <f t="shared" si="23"/>
        <v/>
      </c>
      <c r="I133" s="469"/>
      <c r="J133" s="541"/>
      <c r="K133" s="553">
        <f t="shared" si="24"/>
        <v>0</v>
      </c>
      <c r="L133" s="553"/>
      <c r="M133" s="553"/>
      <c r="N133" s="543">
        <f t="shared" si="25"/>
        <v>0</v>
      </c>
      <c r="O133" s="543"/>
      <c r="P133" s="543"/>
      <c r="Q133" s="543"/>
      <c r="R133" s="543"/>
      <c r="S133" s="61"/>
      <c r="T133" s="44">
        <f t="shared" ref="T133" si="28">T132+1</f>
        <v>30</v>
      </c>
      <c r="U133" s="44"/>
    </row>
    <row r="134" spans="1:21" ht="14.25">
      <c r="A134" s="30"/>
      <c r="B134" s="36"/>
      <c r="C134" s="538">
        <f t="shared" si="21"/>
        <v>0</v>
      </c>
      <c r="D134" s="538"/>
      <c r="E134" s="538"/>
      <c r="F134" s="539">
        <f t="shared" si="22"/>
        <v>0</v>
      </c>
      <c r="G134" s="539"/>
      <c r="H134" s="540" t="str">
        <f t="shared" si="23"/>
        <v/>
      </c>
      <c r="I134" s="469"/>
      <c r="J134" s="541"/>
      <c r="K134" s="553">
        <f t="shared" si="24"/>
        <v>0</v>
      </c>
      <c r="L134" s="553"/>
      <c r="M134" s="553"/>
      <c r="N134" s="543">
        <f t="shared" si="25"/>
        <v>0</v>
      </c>
      <c r="O134" s="543"/>
      <c r="P134" s="543"/>
      <c r="Q134" s="543"/>
      <c r="R134" s="543"/>
      <c r="S134" s="61"/>
      <c r="T134" s="44">
        <f t="shared" ref="T134" si="29">T133+1</f>
        <v>31</v>
      </c>
      <c r="U134" s="44"/>
    </row>
    <row r="135" spans="1:21" ht="14.25">
      <c r="A135" s="30"/>
      <c r="B135" s="36"/>
      <c r="C135" s="538">
        <f t="shared" si="21"/>
        <v>0</v>
      </c>
      <c r="D135" s="538"/>
      <c r="E135" s="538"/>
      <c r="F135" s="539">
        <f t="shared" si="22"/>
        <v>0</v>
      </c>
      <c r="G135" s="539"/>
      <c r="H135" s="540" t="str">
        <f t="shared" si="23"/>
        <v/>
      </c>
      <c r="I135" s="469"/>
      <c r="J135" s="541"/>
      <c r="K135" s="553">
        <f t="shared" si="24"/>
        <v>0</v>
      </c>
      <c r="L135" s="553"/>
      <c r="M135" s="553"/>
      <c r="N135" s="543">
        <f t="shared" si="25"/>
        <v>0</v>
      </c>
      <c r="O135" s="543"/>
      <c r="P135" s="543"/>
      <c r="Q135" s="543"/>
      <c r="R135" s="543"/>
      <c r="S135" s="61"/>
      <c r="T135" s="44">
        <f t="shared" ref="T135" si="30">T134+1</f>
        <v>32</v>
      </c>
      <c r="U135" s="44"/>
    </row>
    <row r="136" spans="1:21" ht="14.25">
      <c r="A136" s="30"/>
      <c r="B136" s="36"/>
      <c r="C136" s="538">
        <f t="shared" si="21"/>
        <v>0</v>
      </c>
      <c r="D136" s="538"/>
      <c r="E136" s="538"/>
      <c r="F136" s="539">
        <f t="shared" si="22"/>
        <v>0</v>
      </c>
      <c r="G136" s="539"/>
      <c r="H136" s="540" t="str">
        <f t="shared" si="23"/>
        <v/>
      </c>
      <c r="I136" s="469"/>
      <c r="J136" s="541"/>
      <c r="K136" s="553">
        <f t="shared" si="24"/>
        <v>0</v>
      </c>
      <c r="L136" s="553"/>
      <c r="M136" s="553"/>
      <c r="N136" s="543">
        <f t="shared" si="25"/>
        <v>0</v>
      </c>
      <c r="O136" s="543"/>
      <c r="P136" s="543"/>
      <c r="Q136" s="543"/>
      <c r="R136" s="543"/>
      <c r="S136" s="61"/>
      <c r="T136" s="44">
        <f t="shared" ref="T136:T137" si="31">T135+1</f>
        <v>33</v>
      </c>
      <c r="U136" s="44"/>
    </row>
    <row r="137" spans="1:21" ht="14.25">
      <c r="A137" s="30"/>
      <c r="B137" s="30"/>
      <c r="C137" s="494" t="s">
        <v>30</v>
      </c>
      <c r="D137" s="495"/>
      <c r="E137" s="496"/>
      <c r="F137" s="544">
        <f>SUM(F131:F136)</f>
        <v>0</v>
      </c>
      <c r="G137" s="544"/>
      <c r="H137" s="53"/>
      <c r="I137" s="495"/>
      <c r="J137" s="496"/>
      <c r="K137" s="552">
        <f>SUM(K131:K136)</f>
        <v>0</v>
      </c>
      <c r="L137" s="552"/>
      <c r="M137" s="552"/>
      <c r="N137" s="546"/>
      <c r="O137" s="546"/>
      <c r="P137" s="546"/>
      <c r="Q137" s="546"/>
      <c r="R137" s="546"/>
      <c r="S137" s="38"/>
      <c r="T137" s="44">
        <f t="shared" si="31"/>
        <v>34</v>
      </c>
      <c r="U137" s="44"/>
    </row>
    <row r="138" spans="1:21" ht="14.25">
      <c r="A138" s="30"/>
      <c r="B138" s="31" t="s">
        <v>114</v>
      </c>
      <c r="C138" s="44"/>
      <c r="D138" s="30"/>
      <c r="E138" s="30"/>
      <c r="F138" s="240"/>
      <c r="G138" s="240"/>
      <c r="H138" s="240"/>
      <c r="I138" s="57"/>
      <c r="J138" s="57"/>
      <c r="K138" s="58"/>
      <c r="L138" s="240"/>
      <c r="M138" s="240"/>
      <c r="N138" s="59"/>
      <c r="O138" s="59"/>
      <c r="P138" s="59"/>
      <c r="Q138" s="62"/>
      <c r="R138" s="38"/>
      <c r="S138" s="38"/>
      <c r="T138" s="44">
        <f t="shared" ref="T138" si="32">T137+1</f>
        <v>35</v>
      </c>
      <c r="U138" s="44"/>
    </row>
    <row r="139" spans="1:21" ht="14.25">
      <c r="A139" s="30"/>
      <c r="B139" s="30"/>
      <c r="C139" s="30"/>
      <c r="D139" s="30" t="s">
        <v>115</v>
      </c>
      <c r="E139" s="548">
        <f>$L$15/10000</f>
        <v>0</v>
      </c>
      <c r="F139" s="548"/>
      <c r="G139" s="31" t="s">
        <v>116</v>
      </c>
      <c r="H139" s="449">
        <f>$G$15/10000</f>
        <v>0</v>
      </c>
      <c r="I139" s="449"/>
      <c r="J139" s="31" t="s">
        <v>75</v>
      </c>
      <c r="K139" s="487" t="e">
        <f>E139/H139</f>
        <v>#DIV/0!</v>
      </c>
      <c r="L139" s="487"/>
      <c r="M139" s="31" t="s">
        <v>94</v>
      </c>
      <c r="N139" s="537">
        <f>$M$7</f>
        <v>0</v>
      </c>
      <c r="O139" s="537"/>
      <c r="P139" s="43" t="s">
        <v>22</v>
      </c>
      <c r="Q139" s="117"/>
      <c r="R139" s="118"/>
      <c r="S139" s="38"/>
      <c r="T139" s="44">
        <f t="shared" ref="T139" si="33">T138+1</f>
        <v>36</v>
      </c>
      <c r="U139" s="44"/>
    </row>
    <row r="140" spans="1:21" ht="14.25">
      <c r="A140" s="30"/>
      <c r="B140" s="30"/>
      <c r="C140" s="50" t="s">
        <v>117</v>
      </c>
      <c r="D140" s="52"/>
      <c r="E140" s="30"/>
      <c r="F140" s="30"/>
      <c r="G140" s="30"/>
      <c r="H140" s="30"/>
      <c r="I140" s="30"/>
      <c r="J140" s="30"/>
      <c r="K140" s="30"/>
      <c r="L140" s="30"/>
      <c r="M140" s="30"/>
      <c r="N140" s="30"/>
      <c r="O140" s="30"/>
      <c r="P140" s="30"/>
      <c r="Q140" s="30"/>
      <c r="R140" s="30"/>
      <c r="S140" s="30"/>
      <c r="T140" s="44">
        <f t="shared" ref="T140" si="34">T139+1</f>
        <v>37</v>
      </c>
      <c r="U140" s="44"/>
    </row>
    <row r="141" spans="1:21" ht="14.25">
      <c r="A141" s="30"/>
      <c r="B141" s="36"/>
      <c r="C141" s="549" t="s">
        <v>118</v>
      </c>
      <c r="D141" s="550"/>
      <c r="E141" s="550"/>
      <c r="F141" s="550"/>
      <c r="G141" s="550"/>
      <c r="H141" s="551" t="s">
        <v>119</v>
      </c>
      <c r="I141" s="551"/>
      <c r="J141" s="551"/>
      <c r="K141" s="550" t="s">
        <v>113</v>
      </c>
      <c r="L141" s="550"/>
      <c r="M141" s="550"/>
      <c r="N141" s="426" t="s">
        <v>27</v>
      </c>
      <c r="O141" s="426"/>
      <c r="P141" s="426"/>
      <c r="Q141" s="426"/>
      <c r="R141" s="426"/>
      <c r="S141" s="38"/>
      <c r="T141" s="44">
        <f t="shared" ref="T141" si="35">T140+1</f>
        <v>38</v>
      </c>
      <c r="U141" s="44"/>
    </row>
    <row r="142" spans="1:21" ht="14.25">
      <c r="A142" s="30"/>
      <c r="B142" s="36"/>
      <c r="C142" s="488">
        <f>D18</f>
        <v>0</v>
      </c>
      <c r="D142" s="488"/>
      <c r="E142" s="488"/>
      <c r="F142" s="489">
        <f>G18/10000</f>
        <v>0</v>
      </c>
      <c r="G142" s="489"/>
      <c r="H142" s="490" t="str">
        <f>J18</f>
        <v/>
      </c>
      <c r="I142" s="491"/>
      <c r="J142" s="492"/>
      <c r="K142" s="493">
        <f>IF(L18="",0,L18/10000)</f>
        <v>0</v>
      </c>
      <c r="L142" s="493"/>
      <c r="M142" s="493"/>
      <c r="N142" s="547">
        <f>N18</f>
        <v>0</v>
      </c>
      <c r="O142" s="547"/>
      <c r="P142" s="547"/>
      <c r="Q142" s="547"/>
      <c r="R142" s="547"/>
      <c r="S142" s="61"/>
      <c r="T142" s="44">
        <f t="shared" ref="T142" si="36">T141+1</f>
        <v>39</v>
      </c>
      <c r="U142" s="44"/>
    </row>
    <row r="143" spans="1:21" ht="14.25">
      <c r="A143" s="30"/>
      <c r="B143" s="36"/>
      <c r="C143" s="538">
        <f>D19</f>
        <v>0</v>
      </c>
      <c r="D143" s="538"/>
      <c r="E143" s="538"/>
      <c r="F143" s="539">
        <f>G19/10000</f>
        <v>0</v>
      </c>
      <c r="G143" s="539"/>
      <c r="H143" s="540" t="str">
        <f>J19</f>
        <v/>
      </c>
      <c r="I143" s="469"/>
      <c r="J143" s="541"/>
      <c r="K143" s="542">
        <f>IF(L19="",0,L19/10000)</f>
        <v>0</v>
      </c>
      <c r="L143" s="542"/>
      <c r="M143" s="542"/>
      <c r="N143" s="543">
        <f>N19</f>
        <v>0</v>
      </c>
      <c r="O143" s="543"/>
      <c r="P143" s="543"/>
      <c r="Q143" s="543"/>
      <c r="R143" s="543"/>
      <c r="S143" s="61"/>
      <c r="T143" s="44">
        <f t="shared" ref="T143" si="37">T142+1</f>
        <v>40</v>
      </c>
      <c r="U143" s="44"/>
    </row>
    <row r="144" spans="1:21" ht="14.25">
      <c r="A144" s="30"/>
      <c r="B144" s="36"/>
      <c r="C144" s="538">
        <f>D20</f>
        <v>0</v>
      </c>
      <c r="D144" s="538"/>
      <c r="E144" s="538"/>
      <c r="F144" s="539">
        <f>G20/10000</f>
        <v>0</v>
      </c>
      <c r="G144" s="539"/>
      <c r="H144" s="540" t="str">
        <f>J20</f>
        <v/>
      </c>
      <c r="I144" s="469"/>
      <c r="J144" s="541"/>
      <c r="K144" s="542">
        <f>IF(L20="",0,L20/10000)</f>
        <v>0</v>
      </c>
      <c r="L144" s="542"/>
      <c r="M144" s="542"/>
      <c r="N144" s="543">
        <f>N20</f>
        <v>0</v>
      </c>
      <c r="O144" s="543"/>
      <c r="P144" s="543"/>
      <c r="Q144" s="543"/>
      <c r="R144" s="543"/>
      <c r="S144" s="61"/>
      <c r="T144" s="44">
        <f t="shared" ref="T144" si="38">T143+1</f>
        <v>41</v>
      </c>
      <c r="U144" s="44"/>
    </row>
    <row r="145" spans="1:21" ht="14.25">
      <c r="A145" s="30"/>
      <c r="B145" s="30"/>
      <c r="C145" s="494" t="s">
        <v>30</v>
      </c>
      <c r="D145" s="495"/>
      <c r="E145" s="496"/>
      <c r="F145" s="544">
        <f>SUM(F142:F144)</f>
        <v>0</v>
      </c>
      <c r="G145" s="544"/>
      <c r="H145" s="53"/>
      <c r="I145" s="495"/>
      <c r="J145" s="496"/>
      <c r="K145" s="545">
        <f>SUM(K142:K144)</f>
        <v>0</v>
      </c>
      <c r="L145" s="545"/>
      <c r="M145" s="545"/>
      <c r="N145" s="546"/>
      <c r="O145" s="546"/>
      <c r="P145" s="546"/>
      <c r="Q145" s="546"/>
      <c r="R145" s="546"/>
      <c r="S145" s="38"/>
      <c r="T145" s="44">
        <f t="shared" ref="T145" si="39">T144+1</f>
        <v>42</v>
      </c>
      <c r="U145" s="44"/>
    </row>
    <row r="146" spans="1:21" ht="14.25">
      <c r="A146" s="30"/>
      <c r="B146" s="31"/>
      <c r="C146" s="44"/>
      <c r="D146" s="30"/>
      <c r="E146" s="30"/>
      <c r="F146" s="240"/>
      <c r="G146" s="240"/>
      <c r="H146" s="47" t="s">
        <v>120</v>
      </c>
      <c r="I146" s="57"/>
      <c r="J146" s="57"/>
      <c r="K146" s="58"/>
      <c r="L146" s="240"/>
      <c r="M146" s="240"/>
      <c r="N146" s="59"/>
      <c r="O146" s="59"/>
      <c r="P146" s="59"/>
      <c r="Q146" s="62"/>
      <c r="R146" s="38"/>
      <c r="S146" s="38"/>
      <c r="T146" s="44">
        <f t="shared" ref="T146" si="40">T145+1</f>
        <v>43</v>
      </c>
      <c r="U146" s="44"/>
    </row>
    <row r="147" spans="1:21" ht="14.25">
      <c r="A147" s="30"/>
      <c r="B147" s="31" t="s">
        <v>114</v>
      </c>
      <c r="C147" s="44"/>
      <c r="D147" s="30"/>
      <c r="E147" s="30"/>
      <c r="F147" s="240"/>
      <c r="G147" s="240"/>
      <c r="H147" s="240"/>
      <c r="I147" s="57"/>
      <c r="J147" s="57"/>
      <c r="K147" s="58"/>
      <c r="L147" s="240"/>
      <c r="M147" s="240"/>
      <c r="N147" s="59"/>
      <c r="O147" s="59"/>
      <c r="P147" s="59"/>
      <c r="Q147" s="62"/>
      <c r="R147" s="38"/>
      <c r="S147" s="38"/>
      <c r="T147" s="44">
        <f t="shared" ref="T147" si="41">T146+1</f>
        <v>44</v>
      </c>
      <c r="U147" s="44"/>
    </row>
    <row r="148" spans="1:21" ht="14.25">
      <c r="A148" s="30"/>
      <c r="B148" s="30"/>
      <c r="C148" s="30"/>
      <c r="D148" s="30" t="s">
        <v>115</v>
      </c>
      <c r="E148" s="486">
        <f>K145</f>
        <v>0</v>
      </c>
      <c r="F148" s="486"/>
      <c r="G148" s="31" t="s">
        <v>116</v>
      </c>
      <c r="H148" s="449">
        <f>F145</f>
        <v>0</v>
      </c>
      <c r="I148" s="449"/>
      <c r="J148" s="31" t="s">
        <v>75</v>
      </c>
      <c r="K148" s="487">
        <f>IF(E148&gt;0,E148/H148,0)</f>
        <v>0</v>
      </c>
      <c r="L148" s="487"/>
      <c r="M148" s="31" t="s">
        <v>94</v>
      </c>
      <c r="N148" s="537">
        <f>ROUNDUP(K148,2)</f>
        <v>0</v>
      </c>
      <c r="O148" s="537"/>
      <c r="P148" s="43" t="s">
        <v>22</v>
      </c>
      <c r="Q148" s="62"/>
      <c r="R148" s="38"/>
      <c r="S148" s="38"/>
      <c r="T148" s="44">
        <f t="shared" ref="T148" si="42">T147+1</f>
        <v>45</v>
      </c>
      <c r="U148" s="44"/>
    </row>
    <row r="149" spans="1:21" ht="14.25">
      <c r="A149" s="30"/>
      <c r="B149" s="30"/>
      <c r="C149" s="30"/>
      <c r="D149" s="30"/>
      <c r="E149" s="31"/>
      <c r="F149" s="31"/>
      <c r="G149" s="31"/>
      <c r="H149" s="31"/>
      <c r="I149" s="31"/>
      <c r="J149" s="31"/>
      <c r="K149" s="31"/>
      <c r="L149" s="44"/>
      <c r="M149" s="44"/>
      <c r="N149" s="44"/>
      <c r="O149" s="44"/>
      <c r="P149" s="32"/>
      <c r="Q149" s="44"/>
      <c r="R149" s="38"/>
      <c r="S149" s="38"/>
      <c r="T149" s="44">
        <f t="shared" ref="T149:T159" si="43">T148+1</f>
        <v>46</v>
      </c>
      <c r="U149" s="44"/>
    </row>
    <row r="150" spans="1:21" ht="14.25">
      <c r="A150" s="134" t="s">
        <v>121</v>
      </c>
      <c r="B150" s="30"/>
      <c r="C150" s="30"/>
      <c r="D150" s="30"/>
      <c r="E150" s="30"/>
      <c r="F150" s="30"/>
      <c r="G150" s="30"/>
      <c r="H150" s="30"/>
      <c r="I150" s="30"/>
      <c r="J150" s="30"/>
      <c r="K150" s="30"/>
      <c r="L150" s="30"/>
      <c r="M150" s="30"/>
      <c r="N150" s="30"/>
      <c r="O150" s="30"/>
      <c r="P150" s="30"/>
      <c r="Q150" s="30"/>
      <c r="R150" s="30"/>
      <c r="S150" s="30"/>
      <c r="T150" s="44">
        <f t="shared" si="43"/>
        <v>47</v>
      </c>
      <c r="U150" s="44"/>
    </row>
    <row r="151" spans="1:21" ht="14.25">
      <c r="A151" s="30"/>
      <c r="B151" s="30" t="s">
        <v>124</v>
      </c>
      <c r="C151" s="30"/>
      <c r="D151" s="234"/>
      <c r="E151" s="234"/>
      <c r="F151" s="234"/>
      <c r="G151" s="30"/>
      <c r="H151" s="38"/>
      <c r="I151" s="38"/>
      <c r="J151" s="38"/>
      <c r="K151" s="38"/>
      <c r="L151" s="38"/>
      <c r="M151" s="38"/>
      <c r="N151" s="38"/>
      <c r="O151" s="38"/>
      <c r="P151" s="38"/>
      <c r="Q151" s="38"/>
      <c r="R151" s="38"/>
      <c r="S151" s="38"/>
      <c r="T151" s="44">
        <f t="shared" si="43"/>
        <v>48</v>
      </c>
      <c r="U151" s="44"/>
    </row>
    <row r="152" spans="1:21" ht="14.25">
      <c r="A152" s="115"/>
      <c r="B152" s="115"/>
      <c r="C152" s="115"/>
      <c r="D152" s="115"/>
      <c r="E152" s="115" t="s">
        <v>125</v>
      </c>
      <c r="F152" s="116"/>
      <c r="G152" s="116"/>
      <c r="H152" s="116" t="s">
        <v>126</v>
      </c>
      <c r="I152" s="116"/>
      <c r="J152" s="116"/>
      <c r="K152" s="116" t="s">
        <v>127</v>
      </c>
      <c r="L152" s="116"/>
      <c r="M152" s="116"/>
      <c r="N152" s="116"/>
      <c r="O152" s="116"/>
      <c r="P152" s="116"/>
      <c r="Q152" s="116"/>
      <c r="R152" s="116"/>
      <c r="S152" s="116"/>
      <c r="T152" s="44">
        <f t="shared" si="43"/>
        <v>49</v>
      </c>
      <c r="U152" s="44"/>
    </row>
    <row r="153" spans="1:21" ht="14.25">
      <c r="A153" s="30"/>
      <c r="B153" s="30"/>
      <c r="C153" s="30" t="s">
        <v>129</v>
      </c>
      <c r="D153" s="234" t="s">
        <v>75</v>
      </c>
      <c r="E153" s="534">
        <f>K33</f>
        <v>2.5000000000000001E-2</v>
      </c>
      <c r="F153" s="459"/>
      <c r="G153" s="240" t="s">
        <v>317</v>
      </c>
      <c r="H153" s="535">
        <f>$G$15/10000</f>
        <v>0</v>
      </c>
      <c r="I153" s="535"/>
      <c r="J153" s="124" t="s">
        <v>316</v>
      </c>
      <c r="K153" s="442">
        <f>F145</f>
        <v>0</v>
      </c>
      <c r="L153" s="442"/>
      <c r="M153" s="124" t="s">
        <v>352</v>
      </c>
      <c r="N153" s="536"/>
      <c r="O153" s="536"/>
      <c r="P153" s="124"/>
      <c r="Q153" s="536"/>
      <c r="R153" s="536"/>
      <c r="S153" s="240"/>
      <c r="T153" s="44">
        <f t="shared" si="43"/>
        <v>50</v>
      </c>
      <c r="U153" s="44"/>
    </row>
    <row r="154" spans="1:21" ht="14.25">
      <c r="A154" s="30"/>
      <c r="B154" s="30"/>
      <c r="C154" s="30"/>
      <c r="D154" s="234" t="s">
        <v>75</v>
      </c>
      <c r="E154" s="442">
        <f>AU48</f>
        <v>0</v>
      </c>
      <c r="F154" s="442"/>
      <c r="G154" s="30" t="s">
        <v>64</v>
      </c>
      <c r="H154" s="38"/>
      <c r="I154" s="38"/>
      <c r="J154" s="38"/>
      <c r="K154" s="38"/>
      <c r="L154" s="38"/>
      <c r="M154" s="38"/>
      <c r="N154" s="38"/>
      <c r="O154" s="38"/>
      <c r="P154" s="38"/>
      <c r="Q154" s="38"/>
      <c r="R154" s="38"/>
      <c r="S154" s="38"/>
      <c r="T154" s="44">
        <f t="shared" si="43"/>
        <v>51</v>
      </c>
      <c r="U154" s="44"/>
    </row>
    <row r="155" spans="1:21" ht="14.25">
      <c r="A155" s="30"/>
      <c r="B155" s="30"/>
      <c r="C155" s="30"/>
      <c r="D155" s="30"/>
      <c r="E155" s="30"/>
      <c r="F155" s="38"/>
      <c r="G155" s="38"/>
      <c r="H155" s="38"/>
      <c r="I155" s="38"/>
      <c r="J155" s="38"/>
      <c r="K155" s="38"/>
      <c r="L155" s="38"/>
      <c r="M155" s="38"/>
      <c r="N155" s="38"/>
      <c r="O155" s="38"/>
      <c r="P155" s="38"/>
      <c r="Q155" s="38"/>
      <c r="R155" s="38"/>
      <c r="S155" s="38"/>
      <c r="T155" s="44">
        <f t="shared" si="43"/>
        <v>52</v>
      </c>
      <c r="U155" s="44"/>
    </row>
    <row r="156" spans="1:21" ht="14.25">
      <c r="A156" s="30"/>
      <c r="B156" s="30" t="s">
        <v>371</v>
      </c>
      <c r="C156" s="30"/>
      <c r="D156" s="30"/>
      <c r="E156" s="30"/>
      <c r="F156" s="38"/>
      <c r="G156" s="38"/>
      <c r="H156" s="38"/>
      <c r="I156" s="38"/>
      <c r="J156" s="38"/>
      <c r="K156" s="38"/>
      <c r="L156" s="38"/>
      <c r="M156" s="38"/>
      <c r="N156" s="38"/>
      <c r="O156" s="38"/>
      <c r="P156" s="38"/>
      <c r="Q156" s="38"/>
      <c r="R156" s="38"/>
      <c r="S156" s="38"/>
      <c r="T156" s="44">
        <f t="shared" si="43"/>
        <v>53</v>
      </c>
      <c r="U156" s="44"/>
    </row>
    <row r="157" spans="1:21" ht="14.25">
      <c r="A157" s="30"/>
      <c r="B157" s="30"/>
      <c r="C157" s="429" t="s">
        <v>122</v>
      </c>
      <c r="D157" s="429" t="s">
        <v>75</v>
      </c>
      <c r="E157" s="241">
        <v>1</v>
      </c>
      <c r="F157" s="498" t="s">
        <v>123</v>
      </c>
      <c r="G157" s="498"/>
      <c r="H157" s="498"/>
      <c r="I157" s="429" t="s">
        <v>75</v>
      </c>
      <c r="J157" s="241">
        <v>1</v>
      </c>
      <c r="K157" s="501" t="str">
        <f>"×"&amp;N148&amp;"×"</f>
        <v>×0×</v>
      </c>
      <c r="L157" s="501"/>
      <c r="M157" s="513">
        <f>$AT$66</f>
        <v>1695</v>
      </c>
      <c r="N157" s="513"/>
      <c r="O157" s="513"/>
      <c r="P157" s="513"/>
      <c r="Q157" s="521" t="str">
        <f>"×"&amp;F145</f>
        <v>×0</v>
      </c>
      <c r="R157" s="521"/>
      <c r="S157" s="521"/>
      <c r="T157" s="44">
        <f t="shared" si="43"/>
        <v>54</v>
      </c>
      <c r="U157" s="44"/>
    </row>
    <row r="158" spans="1:21" ht="15.75">
      <c r="A158" s="30"/>
      <c r="B158" s="30"/>
      <c r="C158" s="429"/>
      <c r="D158" s="429"/>
      <c r="E158" s="236">
        <v>360</v>
      </c>
      <c r="F158" s="498"/>
      <c r="G158" s="498"/>
      <c r="H158" s="498"/>
      <c r="I158" s="429"/>
      <c r="J158" s="236">
        <v>360</v>
      </c>
      <c r="K158" s="501"/>
      <c r="L158" s="501"/>
      <c r="M158" s="245">
        <v>5</v>
      </c>
      <c r="N158" s="254">
        <f>$AV$67</f>
        <v>0.75</v>
      </c>
      <c r="O158" s="536" t="str">
        <f>"＋"&amp;$AX$67</f>
        <v>＋10</v>
      </c>
      <c r="P158" s="536"/>
      <c r="Q158" s="521"/>
      <c r="R158" s="521"/>
      <c r="S158" s="521"/>
      <c r="T158" s="44">
        <f t="shared" si="43"/>
        <v>55</v>
      </c>
      <c r="U158" s="44"/>
    </row>
    <row r="159" spans="1:21" ht="14.25">
      <c r="A159" s="30"/>
      <c r="B159" s="30"/>
      <c r="C159" s="30"/>
      <c r="D159" s="234" t="s">
        <v>75</v>
      </c>
      <c r="E159" s="533">
        <f>IF(G21&gt;0,ROUNDUP(1/360*$M$16*AT66/(5^AV67+AX67)*G21/10000,5),0)</f>
        <v>0</v>
      </c>
      <c r="F159" s="425"/>
      <c r="G159" s="30" t="s">
        <v>64</v>
      </c>
      <c r="H159" s="38"/>
      <c r="I159" s="340" t="str">
        <f>IF(OR(E159=0,E154&gt;=E159),"ＯＫ","ＮＧ")</f>
        <v>ＯＫ</v>
      </c>
      <c r="J159" s="38"/>
      <c r="K159" s="38"/>
      <c r="L159" s="38"/>
      <c r="M159" s="38"/>
      <c r="N159" s="38"/>
      <c r="O159" s="38"/>
      <c r="P159" s="38"/>
      <c r="Q159" s="38"/>
      <c r="R159" s="38"/>
      <c r="S159" s="38"/>
      <c r="T159" s="44">
        <f t="shared" si="43"/>
        <v>56</v>
      </c>
      <c r="U159" s="44"/>
    </row>
    <row r="160" spans="1:21" ht="14.25">
      <c r="A160" s="30"/>
      <c r="B160" s="30"/>
      <c r="C160" s="30"/>
      <c r="D160" s="234"/>
      <c r="E160" s="234"/>
      <c r="F160" s="234"/>
      <c r="G160" s="30"/>
      <c r="H160" s="38"/>
      <c r="I160" s="38"/>
      <c r="J160" s="38"/>
      <c r="K160" s="38"/>
      <c r="L160" s="38"/>
      <c r="M160" s="38"/>
      <c r="N160" s="38"/>
      <c r="O160" s="38"/>
      <c r="P160" s="38"/>
      <c r="Q160" s="38"/>
      <c r="R160" s="38"/>
      <c r="S160" s="38"/>
      <c r="T160" s="44">
        <f t="shared" ref="T160" si="44">T159+1</f>
        <v>57</v>
      </c>
      <c r="U160" s="44"/>
    </row>
    <row r="161" spans="1:21" ht="14.25">
      <c r="A161" s="30"/>
      <c r="B161" s="30" t="s">
        <v>372</v>
      </c>
      <c r="C161" s="30"/>
      <c r="D161" s="30"/>
      <c r="E161" s="30"/>
      <c r="F161" s="38"/>
      <c r="G161" s="38"/>
      <c r="H161" s="38"/>
      <c r="I161" s="38"/>
      <c r="J161" s="38"/>
      <c r="K161" s="38"/>
      <c r="L161" s="38"/>
      <c r="M161" s="38"/>
      <c r="N161" s="38"/>
      <c r="O161" s="38"/>
      <c r="P161" s="38"/>
      <c r="Q161" s="38"/>
      <c r="R161" s="38"/>
      <c r="S161" s="38"/>
      <c r="T161" s="44">
        <v>1</v>
      </c>
      <c r="U161" s="44"/>
    </row>
    <row r="162" spans="1:21" ht="14.25">
      <c r="A162" s="115"/>
      <c r="B162" s="115"/>
      <c r="C162" s="115"/>
      <c r="D162" s="115"/>
      <c r="E162" s="115"/>
      <c r="F162" s="115"/>
      <c r="G162" s="115"/>
      <c r="H162" s="115" t="s">
        <v>125</v>
      </c>
      <c r="I162" s="115"/>
      <c r="J162" s="115"/>
      <c r="K162" s="116" t="s">
        <v>126</v>
      </c>
      <c r="L162" s="115"/>
      <c r="M162" s="115"/>
      <c r="N162" s="115" t="s">
        <v>128</v>
      </c>
      <c r="O162" s="115"/>
      <c r="P162" s="115"/>
      <c r="Q162" s="116" t="s">
        <v>132</v>
      </c>
      <c r="R162" s="115"/>
      <c r="S162" s="115"/>
      <c r="T162" s="44">
        <f t="shared" ref="T162" si="45">T161+1</f>
        <v>2</v>
      </c>
      <c r="U162" s="44"/>
    </row>
    <row r="163" spans="1:21" ht="16.5">
      <c r="A163" s="30"/>
      <c r="B163" s="30"/>
      <c r="C163" s="234" t="s">
        <v>104</v>
      </c>
      <c r="D163" s="234" t="s">
        <v>75</v>
      </c>
      <c r="E163" s="436" t="s">
        <v>133</v>
      </c>
      <c r="F163" s="436"/>
      <c r="G163" s="234" t="s">
        <v>75</v>
      </c>
      <c r="H163" s="443">
        <f>K33</f>
        <v>2.5000000000000001E-2</v>
      </c>
      <c r="I163" s="436"/>
      <c r="J163" s="234" t="s">
        <v>134</v>
      </c>
      <c r="K163" s="444">
        <f>$G$15/10000</f>
        <v>0</v>
      </c>
      <c r="L163" s="444"/>
      <c r="M163" s="119" t="s">
        <v>135</v>
      </c>
      <c r="N163" s="459">
        <f>ROUND($K$32/10000,5)</f>
        <v>0</v>
      </c>
      <c r="O163" s="459"/>
      <c r="P163" s="119" t="s">
        <v>503</v>
      </c>
      <c r="Q163" s="442">
        <f>E159</f>
        <v>0</v>
      </c>
      <c r="R163" s="459"/>
      <c r="S163" s="30"/>
      <c r="T163" s="44">
        <f t="shared" ref="T163" si="46">T162+1</f>
        <v>3</v>
      </c>
      <c r="U163" s="44"/>
    </row>
    <row r="164" spans="1:21" ht="14.25">
      <c r="A164" s="30"/>
      <c r="B164" s="30"/>
      <c r="C164" s="234"/>
      <c r="D164" s="234" t="s">
        <v>75</v>
      </c>
      <c r="E164" s="441">
        <f>ROUND(K33*($G$15+K32)/10000-$E$159,5)</f>
        <v>0</v>
      </c>
      <c r="F164" s="436"/>
      <c r="G164" s="30" t="s">
        <v>64</v>
      </c>
      <c r="H164" s="235"/>
      <c r="I164" s="234"/>
      <c r="J164" s="234"/>
      <c r="K164" s="234"/>
      <c r="L164" s="234"/>
      <c r="M164" s="234"/>
      <c r="N164" s="234"/>
      <c r="O164" s="234"/>
      <c r="P164" s="30"/>
      <c r="Q164" s="30"/>
      <c r="R164" s="30"/>
      <c r="S164" s="30"/>
      <c r="T164" s="44">
        <f t="shared" ref="T164" si="47">T163+1</f>
        <v>4</v>
      </c>
      <c r="U164" s="44"/>
    </row>
    <row r="165" spans="1:21" ht="14.25">
      <c r="A165" s="30"/>
      <c r="B165" s="38"/>
      <c r="C165" s="30"/>
      <c r="D165" s="30"/>
      <c r="E165" s="30"/>
      <c r="F165" s="30"/>
      <c r="G165" s="30"/>
      <c r="H165" s="30"/>
      <c r="I165" s="30"/>
      <c r="J165" s="30"/>
      <c r="K165" s="30"/>
      <c r="L165" s="30"/>
      <c r="M165" s="30"/>
      <c r="N165" s="30"/>
      <c r="O165" s="30"/>
      <c r="P165" s="30"/>
      <c r="Q165" s="30"/>
      <c r="R165" s="30"/>
      <c r="S165" s="30"/>
      <c r="T165" s="44">
        <f t="shared" ref="T165:T167" si="48">T164+1</f>
        <v>5</v>
      </c>
      <c r="U165" s="44"/>
    </row>
    <row r="166" spans="1:21" ht="14.25">
      <c r="A166" s="134" t="s">
        <v>396</v>
      </c>
      <c r="B166" s="30"/>
      <c r="C166" s="30"/>
      <c r="D166" s="30"/>
      <c r="E166" s="30"/>
      <c r="F166" s="38"/>
      <c r="G166" s="38"/>
      <c r="H166" s="38"/>
      <c r="I166" s="38"/>
      <c r="J166" s="38"/>
      <c r="K166" s="38"/>
      <c r="L166" s="38"/>
      <c r="M166" s="38"/>
      <c r="N166" s="38"/>
      <c r="O166" s="38"/>
      <c r="P166" s="38"/>
      <c r="Q166" s="38"/>
      <c r="R166" s="38"/>
      <c r="S166" s="38"/>
      <c r="T166" s="44">
        <f t="shared" si="48"/>
        <v>6</v>
      </c>
      <c r="U166" s="44"/>
    </row>
    <row r="167" spans="1:21" ht="14.25">
      <c r="A167" s="30"/>
      <c r="B167" s="526" t="s">
        <v>373</v>
      </c>
      <c r="C167" s="526"/>
      <c r="D167" s="526"/>
      <c r="E167" s="526"/>
      <c r="F167" s="526"/>
      <c r="G167" s="526"/>
      <c r="H167" s="527" t="s">
        <v>137</v>
      </c>
      <c r="I167" s="528"/>
      <c r="J167" s="528"/>
      <c r="K167" s="529"/>
      <c r="L167" s="527" t="s">
        <v>574</v>
      </c>
      <c r="M167" s="528"/>
      <c r="N167" s="528"/>
      <c r="O167" s="528"/>
      <c r="P167" s="529"/>
      <c r="Q167" s="440" t="s">
        <v>455</v>
      </c>
      <c r="R167" s="440"/>
      <c r="S167" s="440"/>
      <c r="T167" s="44">
        <f t="shared" si="48"/>
        <v>7</v>
      </c>
      <c r="U167" s="44"/>
    </row>
    <row r="168" spans="1:21" ht="14.25">
      <c r="A168" s="44"/>
      <c r="B168" s="526"/>
      <c r="C168" s="526"/>
      <c r="D168" s="526"/>
      <c r="E168" s="526"/>
      <c r="F168" s="526"/>
      <c r="G168" s="526"/>
      <c r="H168" s="530"/>
      <c r="I168" s="531"/>
      <c r="J168" s="531"/>
      <c r="K168" s="532"/>
      <c r="L168" s="530"/>
      <c r="M168" s="531"/>
      <c r="N168" s="531"/>
      <c r="O168" s="531"/>
      <c r="P168" s="532"/>
      <c r="Q168" s="440"/>
      <c r="R168" s="440"/>
      <c r="S168" s="440"/>
      <c r="T168" s="44">
        <f t="shared" ref="T168" si="49">T167+1</f>
        <v>8</v>
      </c>
      <c r="U168" s="44"/>
    </row>
    <row r="169" spans="1:21" ht="14.25">
      <c r="A169" s="44"/>
      <c r="B169" s="440" t="str">
        <f>D28</f>
        <v>調整池</v>
      </c>
      <c r="C169" s="440"/>
      <c r="D169" s="440"/>
      <c r="E169" s="440"/>
      <c r="F169" s="440"/>
      <c r="G169" s="440"/>
      <c r="H169" s="514">
        <f>I28</f>
        <v>0</v>
      </c>
      <c r="I169" s="504"/>
      <c r="J169" s="504"/>
      <c r="K169" s="515"/>
      <c r="L169" s="516">
        <f>L28</f>
        <v>0</v>
      </c>
      <c r="M169" s="517"/>
      <c r="N169" s="517"/>
      <c r="O169" s="517"/>
      <c r="P169" s="518"/>
      <c r="Q169" s="520">
        <f>O28</f>
        <v>1</v>
      </c>
      <c r="R169" s="520"/>
      <c r="S169" s="520"/>
      <c r="T169" s="44">
        <f t="shared" ref="T169:T171" si="50">T168+1</f>
        <v>9</v>
      </c>
      <c r="U169" s="44"/>
    </row>
    <row r="170" spans="1:21" ht="14.25">
      <c r="A170" s="30"/>
      <c r="B170" s="30"/>
      <c r="C170" s="30"/>
      <c r="D170" s="30"/>
      <c r="E170" s="30"/>
      <c r="F170" s="240"/>
      <c r="G170" s="30"/>
      <c r="H170" s="30"/>
      <c r="I170" s="30"/>
      <c r="J170" s="30"/>
      <c r="K170" s="30"/>
      <c r="L170" s="30"/>
      <c r="M170" s="30"/>
      <c r="N170" s="30"/>
      <c r="O170" s="30"/>
      <c r="P170" s="30"/>
      <c r="Q170" s="30"/>
      <c r="R170" s="30"/>
      <c r="S170" s="30"/>
      <c r="T170" s="44">
        <f t="shared" si="50"/>
        <v>10</v>
      </c>
      <c r="U170" s="44"/>
    </row>
    <row r="171" spans="1:21" ht="14.25">
      <c r="A171" s="134" t="s">
        <v>397</v>
      </c>
      <c r="B171" s="30"/>
      <c r="C171" s="30"/>
      <c r="D171" s="30"/>
      <c r="E171" s="30"/>
      <c r="F171" s="30"/>
      <c r="G171" s="30"/>
      <c r="H171" s="30"/>
      <c r="I171" s="30"/>
      <c r="J171" s="30"/>
      <c r="K171" s="30"/>
      <c r="L171" s="30"/>
      <c r="M171" s="30"/>
      <c r="N171" s="30"/>
      <c r="O171" s="30"/>
      <c r="P171" s="30"/>
      <c r="Q171" s="30"/>
      <c r="R171" s="30"/>
      <c r="S171" s="30"/>
      <c r="T171" s="44">
        <f t="shared" si="50"/>
        <v>11</v>
      </c>
      <c r="U171" s="44"/>
    </row>
    <row r="172" spans="1:21" ht="14.25">
      <c r="A172" s="30"/>
      <c r="B172" s="44"/>
      <c r="C172" s="41"/>
      <c r="D172" s="41"/>
      <c r="E172" s="30"/>
      <c r="F172" s="30"/>
      <c r="G172" s="501" t="s">
        <v>75</v>
      </c>
      <c r="H172" s="497">
        <f>$E$164</f>
        <v>0</v>
      </c>
      <c r="I172" s="513"/>
      <c r="J172" s="237" t="s">
        <v>130</v>
      </c>
      <c r="K172" s="513">
        <v>360</v>
      </c>
      <c r="L172" s="513"/>
      <c r="M172" s="501" t="s">
        <v>75</v>
      </c>
      <c r="N172" s="430" t="str">
        <f>IF(M7=0,"",ROUNDDOWN(360*$E$164/$M$7/($G$15/10000),2))</f>
        <v/>
      </c>
      <c r="O172" s="430"/>
      <c r="P172" s="519" t="s">
        <v>638</v>
      </c>
      <c r="Q172" s="519"/>
      <c r="R172" s="521"/>
      <c r="S172" s="521"/>
      <c r="T172" s="44">
        <f>T171+1</f>
        <v>12</v>
      </c>
      <c r="U172" s="44"/>
    </row>
    <row r="173" spans="1:21" ht="14.25">
      <c r="A173" s="30"/>
      <c r="B173" s="44"/>
      <c r="C173" s="41"/>
      <c r="D173" s="41"/>
      <c r="E173" s="38"/>
      <c r="F173" s="38"/>
      <c r="G173" s="501"/>
      <c r="H173" s="430">
        <f>$M$7</f>
        <v>0</v>
      </c>
      <c r="I173" s="501"/>
      <c r="J173" s="239" t="s">
        <v>130</v>
      </c>
      <c r="K173" s="522">
        <f>$G$15/10000</f>
        <v>0</v>
      </c>
      <c r="L173" s="522"/>
      <c r="M173" s="501"/>
      <c r="N173" s="430"/>
      <c r="O173" s="430"/>
      <c r="P173" s="519"/>
      <c r="Q173" s="519"/>
      <c r="R173" s="521"/>
      <c r="S173" s="521"/>
      <c r="T173" s="44">
        <f t="shared" ref="T173" si="51">T172+1</f>
        <v>13</v>
      </c>
      <c r="U173" s="44"/>
    </row>
    <row r="174" spans="1:21" ht="14.25">
      <c r="A174" s="30"/>
      <c r="B174" s="30"/>
      <c r="C174" s="30"/>
      <c r="D174" s="30"/>
      <c r="E174" s="30"/>
      <c r="F174" s="30"/>
      <c r="G174" s="30"/>
      <c r="H174" s="30"/>
      <c r="I174" s="30"/>
      <c r="J174" s="30"/>
      <c r="K174" s="30"/>
      <c r="L174" s="30"/>
      <c r="M174" s="30"/>
      <c r="N174" s="30"/>
      <c r="O174" s="30"/>
      <c r="P174" s="30"/>
      <c r="Q174" s="30"/>
      <c r="R174" s="30"/>
      <c r="S174" s="30"/>
      <c r="T174" s="44">
        <f>T173+1</f>
        <v>14</v>
      </c>
      <c r="U174" s="44"/>
    </row>
    <row r="175" spans="1:21" ht="14.25">
      <c r="A175" s="134" t="s">
        <v>398</v>
      </c>
      <c r="B175" s="30"/>
      <c r="C175" s="30"/>
      <c r="D175" s="30"/>
      <c r="E175" s="30"/>
      <c r="F175" s="30"/>
      <c r="G175" s="30"/>
      <c r="H175" s="30"/>
      <c r="I175" s="30"/>
      <c r="J175" s="30"/>
      <c r="K175" s="30"/>
      <c r="L175" s="30"/>
      <c r="M175" s="30"/>
      <c r="N175" s="30"/>
      <c r="O175" s="30"/>
      <c r="P175" s="30"/>
      <c r="Q175" s="30"/>
      <c r="R175" s="30"/>
      <c r="S175" s="30"/>
      <c r="T175" s="44">
        <f t="shared" ref="T175" si="52">T174+1</f>
        <v>15</v>
      </c>
      <c r="U175" s="44"/>
    </row>
    <row r="176" spans="1:21" ht="14.25">
      <c r="A176" s="30"/>
      <c r="B176" s="38" t="s">
        <v>484</v>
      </c>
      <c r="C176" s="38"/>
      <c r="D176" s="38"/>
      <c r="E176" s="38"/>
      <c r="F176" s="30"/>
      <c r="G176" s="30"/>
      <c r="H176" s="30"/>
      <c r="I176" s="30"/>
      <c r="J176" s="30"/>
      <c r="K176" s="30"/>
      <c r="L176" s="30"/>
      <c r="M176" s="30"/>
      <c r="N176" s="30"/>
      <c r="O176" s="30"/>
      <c r="P176" s="30"/>
      <c r="Q176" s="30"/>
      <c r="R176" s="30"/>
      <c r="S176" s="30"/>
      <c r="T176" s="44">
        <f t="shared" ref="T176" si="53">T175+1</f>
        <v>16</v>
      </c>
      <c r="U176" s="44"/>
    </row>
    <row r="177" spans="1:21" ht="14.25">
      <c r="A177" s="30"/>
      <c r="B177" s="30"/>
      <c r="C177" s="30"/>
      <c r="D177" s="30"/>
      <c r="E177" s="30"/>
      <c r="F177" s="30"/>
      <c r="G177" s="30"/>
      <c r="H177" s="30"/>
      <c r="I177" s="30"/>
      <c r="J177" s="30"/>
      <c r="K177" s="30"/>
      <c r="L177" s="30"/>
      <c r="M177" s="30"/>
      <c r="N177" s="30"/>
      <c r="O177" s="30"/>
      <c r="P177" s="30"/>
      <c r="Q177" s="30"/>
      <c r="R177" s="30"/>
      <c r="S177" s="30"/>
      <c r="T177" s="44">
        <f t="shared" ref="T177" si="54">T176+1</f>
        <v>17</v>
      </c>
      <c r="U177" s="44"/>
    </row>
    <row r="178" spans="1:21" ht="14.25">
      <c r="A178" s="30"/>
      <c r="B178" s="44"/>
      <c r="C178" s="41"/>
      <c r="D178" s="41"/>
      <c r="E178" s="30"/>
      <c r="F178" s="30"/>
      <c r="G178" s="30" t="s">
        <v>744</v>
      </c>
      <c r="H178" s="39" t="s">
        <v>181</v>
      </c>
      <c r="I178" s="470">
        <f>$AT$66</f>
        <v>1695</v>
      </c>
      <c r="J178" s="470"/>
      <c r="K178" s="30" t="s">
        <v>744</v>
      </c>
      <c r="L178" s="39" t="s">
        <v>182</v>
      </c>
      <c r="M178" s="470">
        <f>$AX$67</f>
        <v>10</v>
      </c>
      <c r="N178" s="470"/>
      <c r="O178" s="30" t="s">
        <v>744</v>
      </c>
      <c r="P178" s="36" t="s">
        <v>183</v>
      </c>
      <c r="Q178" s="438">
        <f>$AV$67</f>
        <v>0.75</v>
      </c>
      <c r="R178" s="438"/>
      <c r="S178" s="30"/>
      <c r="T178" s="44">
        <f t="shared" ref="T178:T180" si="55">T177+1</f>
        <v>18</v>
      </c>
      <c r="U178" s="44"/>
    </row>
    <row r="179" spans="1:21" ht="14.25">
      <c r="A179" s="30"/>
      <c r="B179" s="30"/>
      <c r="C179" s="30"/>
      <c r="D179" s="30"/>
      <c r="E179" s="30"/>
      <c r="F179" s="38"/>
      <c r="G179" s="38"/>
      <c r="H179" s="30"/>
      <c r="I179" s="30"/>
      <c r="J179" s="30"/>
      <c r="K179" s="30"/>
      <c r="L179" s="327"/>
      <c r="M179" s="327"/>
      <c r="N179" s="327"/>
      <c r="O179" s="30"/>
      <c r="P179" s="30"/>
      <c r="Q179" s="30"/>
      <c r="R179" s="30"/>
      <c r="S179" s="30"/>
      <c r="T179" s="44">
        <f t="shared" si="55"/>
        <v>19</v>
      </c>
      <c r="U179" s="44"/>
    </row>
    <row r="180" spans="1:21" ht="14.25">
      <c r="A180" s="30"/>
      <c r="B180" s="38" t="s">
        <v>184</v>
      </c>
      <c r="C180" s="38"/>
      <c r="D180" s="38"/>
      <c r="E180" s="38"/>
      <c r="F180" s="30"/>
      <c r="G180" s="30"/>
      <c r="H180" s="30"/>
      <c r="I180" s="30"/>
      <c r="J180" s="30"/>
      <c r="K180" s="30"/>
      <c r="L180" s="30"/>
      <c r="M180" s="30"/>
      <c r="N180" s="30"/>
      <c r="O180" s="30"/>
      <c r="P180" s="30"/>
      <c r="Q180" s="30"/>
      <c r="R180" s="30"/>
      <c r="S180" s="30"/>
      <c r="T180" s="44">
        <f t="shared" si="55"/>
        <v>20</v>
      </c>
      <c r="U180" s="44"/>
    </row>
    <row r="181" spans="1:21" ht="14.25">
      <c r="A181" s="30"/>
      <c r="B181" s="51"/>
      <c r="C181" s="51"/>
      <c r="D181" s="484"/>
      <c r="E181" s="500"/>
      <c r="F181" s="436"/>
      <c r="G181" s="436"/>
      <c r="H181" s="436"/>
      <c r="I181" s="436"/>
      <c r="J181" s="484"/>
      <c r="K181" s="345"/>
      <c r="L181" s="484"/>
      <c r="M181" s="484"/>
      <c r="N181" s="484"/>
      <c r="O181" s="484"/>
      <c r="P181" s="484"/>
      <c r="Q181" s="484"/>
      <c r="R181" s="345"/>
      <c r="S181" s="429"/>
      <c r="T181" s="44">
        <f t="shared" ref="T181:T182" si="56">T180+1</f>
        <v>21</v>
      </c>
      <c r="U181" s="44"/>
    </row>
    <row r="182" spans="1:21" ht="14.25">
      <c r="A182" s="30"/>
      <c r="B182" s="51"/>
      <c r="C182" s="51"/>
      <c r="D182" s="484"/>
      <c r="E182" s="484"/>
      <c r="F182" s="69"/>
      <c r="G182" s="355"/>
      <c r="H182" s="69"/>
      <c r="I182" s="69"/>
      <c r="J182" s="485"/>
      <c r="K182" s="33"/>
      <c r="L182" s="485"/>
      <c r="M182" s="484"/>
      <c r="N182" s="484"/>
      <c r="O182" s="484"/>
      <c r="P182" s="484"/>
      <c r="Q182" s="484"/>
      <c r="R182" s="345"/>
      <c r="S182" s="429"/>
      <c r="T182" s="44">
        <f t="shared" si="56"/>
        <v>22</v>
      </c>
      <c r="U182" s="44"/>
    </row>
    <row r="183" spans="1:21" ht="14.25">
      <c r="A183" s="30"/>
      <c r="B183" s="30"/>
      <c r="C183" s="30"/>
      <c r="D183" s="30"/>
      <c r="E183" s="30"/>
      <c r="F183" s="67"/>
      <c r="G183" s="67"/>
      <c r="H183" s="67"/>
      <c r="I183" s="30"/>
      <c r="J183" s="30"/>
      <c r="K183" s="30"/>
      <c r="L183" s="30"/>
      <c r="M183" s="30"/>
      <c r="N183" s="30"/>
      <c r="O183" s="30"/>
      <c r="P183" s="30"/>
      <c r="Q183" s="30"/>
      <c r="R183" s="30"/>
      <c r="S183" s="30"/>
      <c r="T183" s="44">
        <f t="shared" ref="T183" si="57">T182+1</f>
        <v>23</v>
      </c>
      <c r="U183" s="44"/>
    </row>
    <row r="184" spans="1:21" ht="14.25">
      <c r="A184" s="30"/>
      <c r="B184" s="30"/>
      <c r="C184" s="30"/>
      <c r="D184" s="484"/>
      <c r="E184" s="500"/>
      <c r="F184" s="436"/>
      <c r="G184" s="436"/>
      <c r="H184" s="436"/>
      <c r="I184" s="436"/>
      <c r="J184" s="484"/>
      <c r="K184" s="345"/>
      <c r="L184" s="484"/>
      <c r="M184" s="484"/>
      <c r="N184" s="525"/>
      <c r="O184" s="525"/>
      <c r="P184" s="484"/>
      <c r="Q184" s="432"/>
      <c r="R184" s="30"/>
      <c r="S184" s="30"/>
      <c r="T184" s="44">
        <f t="shared" ref="T184" si="58">T183+1</f>
        <v>24</v>
      </c>
      <c r="U184" s="44"/>
    </row>
    <row r="185" spans="1:21" ht="14.25">
      <c r="A185" s="30"/>
      <c r="B185" s="30"/>
      <c r="C185" s="30"/>
      <c r="D185" s="484"/>
      <c r="E185" s="484"/>
      <c r="F185" s="69"/>
      <c r="G185" s="355"/>
      <c r="H185" s="69"/>
      <c r="I185" s="69"/>
      <c r="J185" s="485"/>
      <c r="K185" s="33"/>
      <c r="L185" s="485"/>
      <c r="M185" s="484"/>
      <c r="N185" s="525"/>
      <c r="O185" s="525"/>
      <c r="P185" s="485"/>
      <c r="Q185" s="432"/>
      <c r="R185" s="30"/>
      <c r="S185" s="30"/>
      <c r="T185" s="44">
        <f t="shared" ref="T185:T187" si="59">T184+1</f>
        <v>25</v>
      </c>
      <c r="U185" s="44"/>
    </row>
    <row r="186" spans="1:21" ht="14.25">
      <c r="A186" s="44"/>
      <c r="B186" s="41" t="s">
        <v>186</v>
      </c>
      <c r="C186" s="44"/>
      <c r="D186" s="68"/>
      <c r="E186" s="68"/>
      <c r="F186" s="68"/>
      <c r="G186" s="67"/>
      <c r="H186" s="67"/>
      <c r="I186" s="41"/>
      <c r="J186" s="41"/>
      <c r="K186" s="41"/>
      <c r="L186" s="41"/>
      <c r="M186" s="30"/>
      <c r="N186" s="30"/>
      <c r="O186" s="30"/>
      <c r="P186" s="30"/>
      <c r="Q186" s="30"/>
      <c r="R186" s="30"/>
      <c r="S186" s="52"/>
      <c r="T186" s="44">
        <f t="shared" si="59"/>
        <v>26</v>
      </c>
      <c r="U186" s="44"/>
    </row>
    <row r="187" spans="1:21" ht="14.25">
      <c r="A187" s="44"/>
      <c r="B187" s="44"/>
      <c r="C187" s="501"/>
      <c r="D187" s="432"/>
      <c r="E187" s="432"/>
      <c r="F187" s="432"/>
      <c r="G187" s="436"/>
      <c r="H187" s="436"/>
      <c r="I187" s="436"/>
      <c r="J187" s="436"/>
      <c r="K187" s="436"/>
      <c r="L187" s="436"/>
      <c r="M187" s="436"/>
      <c r="N187" s="524"/>
      <c r="O187" s="345"/>
      <c r="P187" s="524"/>
      <c r="Q187" s="484"/>
      <c r="R187" s="432"/>
      <c r="S187" s="471"/>
      <c r="T187" s="44">
        <f t="shared" si="59"/>
        <v>27</v>
      </c>
      <c r="U187" s="44"/>
    </row>
    <row r="188" spans="1:21" ht="14.25">
      <c r="A188" s="44"/>
      <c r="B188" s="44"/>
      <c r="C188" s="523"/>
      <c r="D188" s="432"/>
      <c r="E188" s="432"/>
      <c r="F188" s="432"/>
      <c r="G188" s="483"/>
      <c r="H188" s="483"/>
      <c r="I188" s="483"/>
      <c r="J188" s="483"/>
      <c r="K188" s="483"/>
      <c r="L188" s="483"/>
      <c r="M188" s="483"/>
      <c r="N188" s="524"/>
      <c r="O188" s="33"/>
      <c r="P188" s="524"/>
      <c r="Q188" s="484"/>
      <c r="R188" s="432"/>
      <c r="S188" s="432"/>
      <c r="T188" s="44">
        <f t="shared" ref="T188" si="60">T187+1</f>
        <v>28</v>
      </c>
      <c r="U188" s="44"/>
    </row>
    <row r="189" spans="1:21" ht="14.25">
      <c r="A189" s="30"/>
      <c r="B189" s="30"/>
      <c r="C189" s="30"/>
      <c r="D189" s="30"/>
      <c r="E189" s="30"/>
      <c r="F189" s="67"/>
      <c r="G189" s="67"/>
      <c r="H189" s="69"/>
      <c r="I189" s="69"/>
      <c r="J189" s="69"/>
      <c r="K189" s="69"/>
      <c r="L189" s="72"/>
      <c r="M189" s="72"/>
      <c r="N189" s="30"/>
      <c r="O189" s="30"/>
      <c r="P189" s="30"/>
      <c r="Q189" s="30"/>
      <c r="R189" s="30"/>
      <c r="S189" s="30"/>
      <c r="T189" s="44">
        <f t="shared" ref="T189" si="61">T188+1</f>
        <v>29</v>
      </c>
      <c r="U189" s="44"/>
    </row>
    <row r="190" spans="1:21" ht="15.75">
      <c r="A190" s="30"/>
      <c r="B190" s="30" t="s">
        <v>187</v>
      </c>
      <c r="C190" s="30"/>
      <c r="D190" s="30"/>
      <c r="E190" s="30"/>
      <c r="F190" s="44"/>
      <c r="G190" s="30"/>
      <c r="H190" s="30"/>
      <c r="I190" s="30"/>
      <c r="J190" s="30"/>
      <c r="K190" s="30"/>
      <c r="L190" s="73"/>
      <c r="M190" s="73"/>
      <c r="N190" s="30"/>
      <c r="O190" s="30"/>
      <c r="P190" s="30"/>
      <c r="Q190" s="30"/>
      <c r="R190" s="30"/>
      <c r="S190" s="30"/>
      <c r="T190" s="44">
        <f t="shared" ref="T190" si="62">T189+1</f>
        <v>30</v>
      </c>
      <c r="U190" s="44"/>
    </row>
    <row r="191" spans="1:21" ht="14.25">
      <c r="A191" s="30"/>
      <c r="B191" s="30"/>
      <c r="C191" s="30"/>
      <c r="D191" s="30"/>
      <c r="E191" s="30"/>
      <c r="F191" s="30"/>
      <c r="G191" s="30"/>
      <c r="H191" s="30"/>
      <c r="I191" s="30"/>
      <c r="J191" s="30"/>
      <c r="K191" s="30"/>
      <c r="L191" s="73"/>
      <c r="M191" s="73"/>
      <c r="N191" s="30"/>
      <c r="O191" s="30"/>
      <c r="P191" s="30"/>
      <c r="Q191" s="30"/>
      <c r="R191" s="30"/>
      <c r="S191" s="30"/>
      <c r="T191" s="44">
        <f t="shared" ref="T191" si="63">T190+1</f>
        <v>31</v>
      </c>
      <c r="U191" s="44"/>
    </row>
    <row r="192" spans="1:21" ht="14.25">
      <c r="A192" s="30"/>
      <c r="B192" s="30"/>
      <c r="C192" s="30"/>
      <c r="D192" s="30"/>
      <c r="E192" s="30"/>
      <c r="F192" s="67"/>
      <c r="G192" s="67"/>
      <c r="H192" s="30"/>
      <c r="I192" s="30"/>
      <c r="J192" s="30"/>
      <c r="K192" s="30"/>
      <c r="L192" s="72"/>
      <c r="M192" s="72"/>
      <c r="N192" s="30"/>
      <c r="O192" s="30"/>
      <c r="P192" s="30"/>
      <c r="Q192" s="30"/>
      <c r="R192" s="30"/>
      <c r="S192" s="30"/>
      <c r="T192" s="44">
        <f t="shared" ref="T192" si="64">T191+1</f>
        <v>32</v>
      </c>
      <c r="U192" s="44"/>
    </row>
    <row r="193" spans="1:24" ht="14.25">
      <c r="A193" s="30"/>
      <c r="B193" s="30"/>
      <c r="C193" s="30"/>
      <c r="D193" s="30"/>
      <c r="E193" s="30"/>
      <c r="F193" s="67"/>
      <c r="G193" s="67"/>
      <c r="H193" s="30"/>
      <c r="I193" s="30"/>
      <c r="J193" s="30"/>
      <c r="K193" s="30"/>
      <c r="L193" s="72"/>
      <c r="M193" s="72"/>
      <c r="N193" s="30"/>
      <c r="O193" s="30"/>
      <c r="P193" s="30"/>
      <c r="Q193" s="30"/>
      <c r="R193" s="30"/>
      <c r="S193" s="30"/>
      <c r="T193" s="44">
        <f t="shared" ref="T193" si="65">T192+1</f>
        <v>33</v>
      </c>
      <c r="U193" s="44"/>
    </row>
    <row r="194" spans="1:24" ht="15.75">
      <c r="A194" s="30"/>
      <c r="B194" s="30" t="s">
        <v>188</v>
      </c>
      <c r="C194" s="30"/>
      <c r="D194" s="30"/>
      <c r="E194" s="30"/>
      <c r="F194" s="30"/>
      <c r="G194" s="30"/>
      <c r="H194" s="30"/>
      <c r="I194" s="30"/>
      <c r="J194" s="30"/>
      <c r="K194" s="30"/>
      <c r="L194" s="73"/>
      <c r="M194" s="73"/>
      <c r="N194" s="30"/>
      <c r="O194" s="30"/>
      <c r="P194" s="30"/>
      <c r="Q194" s="30"/>
      <c r="R194" s="30"/>
      <c r="S194" s="30"/>
      <c r="T194" s="44">
        <f t="shared" ref="T194:T195" si="66">T193+1</f>
        <v>34</v>
      </c>
      <c r="U194" s="44"/>
    </row>
    <row r="195" spans="1:24" ht="14.25">
      <c r="A195" s="30"/>
      <c r="B195" s="30"/>
      <c r="C195" s="30"/>
      <c r="D195" s="31"/>
      <c r="E195" s="31"/>
      <c r="F195" s="30"/>
      <c r="G195" s="30"/>
      <c r="H195" s="30"/>
      <c r="I195" s="30"/>
      <c r="J195" s="30"/>
      <c r="K195" s="30"/>
      <c r="L195" s="350"/>
      <c r="M195" s="351"/>
      <c r="N195" s="31"/>
      <c r="O195" s="31"/>
      <c r="P195" s="30"/>
      <c r="Q195" s="30"/>
      <c r="R195" s="30"/>
      <c r="S195" s="30"/>
      <c r="T195" s="44">
        <f t="shared" si="66"/>
        <v>35</v>
      </c>
      <c r="U195" s="44"/>
    </row>
    <row r="196" spans="1:24" ht="14.25">
      <c r="A196" s="30"/>
      <c r="B196" s="44"/>
      <c r="C196" s="74"/>
      <c r="D196" s="31"/>
      <c r="E196" s="31"/>
      <c r="F196" s="69"/>
      <c r="G196" s="69"/>
      <c r="H196" s="69"/>
      <c r="I196" s="69"/>
      <c r="J196" s="69"/>
      <c r="K196" s="69"/>
      <c r="L196" s="350"/>
      <c r="M196" s="351"/>
      <c r="N196" s="31"/>
      <c r="O196" s="31"/>
      <c r="P196" s="44"/>
      <c r="Q196" s="30"/>
      <c r="R196" s="44"/>
      <c r="S196" s="74"/>
      <c r="T196" s="44">
        <f t="shared" ref="T196:T200" si="67">T195+1</f>
        <v>36</v>
      </c>
      <c r="U196" s="44"/>
    </row>
    <row r="197" spans="1:24" ht="14.25">
      <c r="A197" s="30"/>
      <c r="B197" s="44"/>
      <c r="C197" s="74"/>
      <c r="D197" s="31"/>
      <c r="E197" s="31"/>
      <c r="F197" s="69"/>
      <c r="G197" s="69"/>
      <c r="H197" s="69"/>
      <c r="I197" s="69"/>
      <c r="J197" s="69"/>
      <c r="K197" s="69"/>
      <c r="L197" s="352"/>
      <c r="M197" s="351"/>
      <c r="N197" s="31"/>
      <c r="O197" s="31"/>
      <c r="P197" s="44"/>
      <c r="Q197" s="30"/>
      <c r="R197" s="44"/>
      <c r="S197" s="74"/>
      <c r="T197" s="44">
        <f t="shared" si="67"/>
        <v>37</v>
      </c>
      <c r="U197" s="44"/>
    </row>
    <row r="198" spans="1:24" ht="14.25">
      <c r="A198" s="30"/>
      <c r="B198" s="44"/>
      <c r="C198" s="39"/>
      <c r="D198" s="39" t="s">
        <v>98</v>
      </c>
      <c r="E198" s="240" t="s">
        <v>75</v>
      </c>
      <c r="F198" s="438" t="str">
        <f>$N$172</f>
        <v/>
      </c>
      <c r="G198" s="438"/>
      <c r="H198" s="47" t="s">
        <v>189</v>
      </c>
      <c r="I198" s="240"/>
      <c r="J198" s="39" t="s">
        <v>99</v>
      </c>
      <c r="K198" s="240" t="s">
        <v>75</v>
      </c>
      <c r="L198" s="439" t="s">
        <v>366</v>
      </c>
      <c r="M198" s="438"/>
      <c r="N198" s="47" t="s">
        <v>190</v>
      </c>
      <c r="O198" s="30"/>
      <c r="P198" s="38"/>
      <c r="Q198" s="30"/>
      <c r="R198" s="30"/>
      <c r="S198" s="30"/>
      <c r="T198" s="44">
        <f t="shared" si="67"/>
        <v>38</v>
      </c>
      <c r="U198" s="44"/>
    </row>
    <row r="199" spans="1:24" ht="14.25">
      <c r="A199" s="30"/>
      <c r="B199" s="39"/>
      <c r="C199" s="39"/>
      <c r="D199" s="240" t="s">
        <v>77</v>
      </c>
      <c r="E199" s="240" t="s">
        <v>75</v>
      </c>
      <c r="F199" s="438" t="str">
        <f>AO56</f>
        <v/>
      </c>
      <c r="G199" s="438"/>
      <c r="H199" s="38" t="s">
        <v>729</v>
      </c>
      <c r="I199" s="240" t="s">
        <v>191</v>
      </c>
      <c r="J199" s="240" t="s">
        <v>75</v>
      </c>
      <c r="K199" s="438" t="e">
        <f>-AU56</f>
        <v>#VALUE!</v>
      </c>
      <c r="L199" s="438"/>
      <c r="M199" s="38" t="s">
        <v>729</v>
      </c>
      <c r="N199" s="240" t="s">
        <v>79</v>
      </c>
      <c r="O199" s="240" t="s">
        <v>75</v>
      </c>
      <c r="P199" s="470" t="str">
        <f>AY56</f>
        <v/>
      </c>
      <c r="Q199" s="470"/>
      <c r="R199" s="470"/>
      <c r="S199" s="30"/>
      <c r="T199" s="44">
        <f t="shared" si="67"/>
        <v>39</v>
      </c>
      <c r="U199" s="44"/>
    </row>
    <row r="200" spans="1:24" ht="14.25">
      <c r="A200" s="30"/>
      <c r="B200" s="37"/>
      <c r="C200" s="37"/>
      <c r="D200" s="37"/>
      <c r="E200" s="39"/>
      <c r="F200" s="42"/>
      <c r="G200" s="42"/>
      <c r="H200" s="38"/>
      <c r="I200" s="38"/>
      <c r="J200" s="38"/>
      <c r="K200" s="38"/>
      <c r="L200" s="38"/>
      <c r="M200" s="38"/>
      <c r="N200" s="30"/>
      <c r="O200" s="30"/>
      <c r="P200" s="30"/>
      <c r="Q200" s="30"/>
      <c r="R200" s="51"/>
      <c r="S200" s="51"/>
      <c r="T200" s="44">
        <f t="shared" si="67"/>
        <v>40</v>
      </c>
      <c r="U200" s="44"/>
    </row>
    <row r="201" spans="1:24" ht="14.25">
      <c r="A201" s="30"/>
      <c r="B201" s="429" t="s">
        <v>192</v>
      </c>
      <c r="C201" s="429" t="s">
        <v>75</v>
      </c>
      <c r="D201" s="429" t="s">
        <v>193</v>
      </c>
      <c r="E201" s="480" t="e">
        <f>-K199</f>
        <v>#VALUE!</v>
      </c>
      <c r="F201" s="480"/>
      <c r="G201" s="243" t="s">
        <v>135</v>
      </c>
      <c r="H201" s="480" t="e">
        <f>-K199</f>
        <v>#VALUE!</v>
      </c>
      <c r="I201" s="480"/>
      <c r="J201" s="87">
        <v>2</v>
      </c>
      <c r="K201" s="509" t="str">
        <f>"－４×"&amp;F199</f>
        <v>－４×</v>
      </c>
      <c r="L201" s="509"/>
      <c r="M201" s="509"/>
      <c r="N201" s="88" t="s">
        <v>130</v>
      </c>
      <c r="O201" s="509" t="str">
        <f>P199</f>
        <v/>
      </c>
      <c r="P201" s="509"/>
      <c r="Q201" s="509"/>
      <c r="R201" s="510" t="s">
        <v>131</v>
      </c>
      <c r="S201" s="94">
        <f>1/$AV$67</f>
        <v>1.3333333333333333</v>
      </c>
      <c r="T201" s="44">
        <f t="shared" ref="T201" si="68">T200+1</f>
        <v>41</v>
      </c>
      <c r="U201" s="44"/>
    </row>
    <row r="202" spans="1:24" ht="14.25">
      <c r="A202" s="30"/>
      <c r="B202" s="429"/>
      <c r="C202" s="429"/>
      <c r="D202" s="429"/>
      <c r="E202" s="512" t="e">
        <f>2*F199</f>
        <v>#VALUE!</v>
      </c>
      <c r="F202" s="512"/>
      <c r="G202" s="512"/>
      <c r="H202" s="512"/>
      <c r="I202" s="512"/>
      <c r="J202" s="512"/>
      <c r="K202" s="512"/>
      <c r="L202" s="512"/>
      <c r="M202" s="512"/>
      <c r="N202" s="512"/>
      <c r="O202" s="512"/>
      <c r="P202" s="512"/>
      <c r="Q202" s="512"/>
      <c r="R202" s="511"/>
      <c r="S202" s="77"/>
      <c r="T202" s="44">
        <f t="shared" ref="T202" si="69">T201+1</f>
        <v>42</v>
      </c>
      <c r="U202" s="44"/>
    </row>
    <row r="203" spans="1:24" ht="14.25">
      <c r="A203" s="30"/>
      <c r="B203" s="44"/>
      <c r="C203" s="247" t="s">
        <v>75</v>
      </c>
      <c r="D203" s="429" t="e">
        <f>ROUND(((E201+SQRT(H201^2-4*($N$172/2)*O201))/E202)^(1/$AV$67),2)</f>
        <v>#VALUE!</v>
      </c>
      <c r="E203" s="429"/>
      <c r="F203" s="77" t="s">
        <v>85</v>
      </c>
      <c r="G203" s="31"/>
      <c r="H203" s="44"/>
      <c r="I203" s="77"/>
      <c r="J203" s="77"/>
      <c r="K203" s="77"/>
      <c r="L203" s="30"/>
      <c r="M203" s="30"/>
      <c r="N203" s="30"/>
      <c r="O203" s="30"/>
      <c r="P203" s="30"/>
      <c r="Q203" s="30"/>
      <c r="R203" s="30"/>
      <c r="S203" s="30"/>
      <c r="T203" s="44">
        <f t="shared" ref="T203" si="70">T202+1</f>
        <v>43</v>
      </c>
      <c r="U203" s="44"/>
    </row>
    <row r="204" spans="1:24" ht="14.25">
      <c r="A204" s="30"/>
      <c r="B204" s="74"/>
      <c r="C204" s="74"/>
      <c r="D204" s="74"/>
      <c r="E204" s="74"/>
      <c r="F204" s="31"/>
      <c r="G204" s="31"/>
      <c r="H204" s="31"/>
      <c r="I204" s="31"/>
      <c r="J204" s="31"/>
      <c r="K204" s="31"/>
      <c r="L204" s="30"/>
      <c r="M204" s="30"/>
      <c r="N204" s="30"/>
      <c r="O204" s="30"/>
      <c r="P204" s="30"/>
      <c r="Q204" s="30"/>
      <c r="R204" s="30"/>
      <c r="S204" s="30"/>
      <c r="T204" s="44">
        <f t="shared" ref="T204" si="71">T203+1</f>
        <v>44</v>
      </c>
      <c r="U204" s="44"/>
    </row>
    <row r="205" spans="1:24" ht="14.25">
      <c r="A205" s="30"/>
      <c r="B205" s="501" t="s">
        <v>83</v>
      </c>
      <c r="C205" s="429" t="s">
        <v>75</v>
      </c>
      <c r="D205" s="502">
        <f>$AT$66</f>
        <v>1695</v>
      </c>
      <c r="E205" s="502"/>
      <c r="F205" s="502"/>
      <c r="G205" s="502"/>
      <c r="H205" s="502"/>
      <c r="I205" s="429" t="s">
        <v>75</v>
      </c>
      <c r="J205" s="427" t="e">
        <f>ROUNDUP($AT$66/($AV$59^$AV$67+$AX$67),2)</f>
        <v>#VALUE!</v>
      </c>
      <c r="K205" s="427"/>
      <c r="L205" s="499" t="s">
        <v>59</v>
      </c>
      <c r="M205" s="499"/>
      <c r="N205" s="327"/>
      <c r="O205" s="327"/>
      <c r="P205" s="327"/>
      <c r="Q205" s="327"/>
      <c r="R205" s="327"/>
      <c r="S205" s="245"/>
      <c r="T205" s="44">
        <f t="shared" ref="T205" si="72">T204+1</f>
        <v>45</v>
      </c>
      <c r="U205" s="44"/>
      <c r="X205" s="347"/>
    </row>
    <row r="206" spans="1:24" ht="14.25">
      <c r="A206" s="30"/>
      <c r="B206" s="501"/>
      <c r="C206" s="429"/>
      <c r="D206" s="507" t="e">
        <f>ROUND($AV$59^$AV$67,3)</f>
        <v>#VALUE!</v>
      </c>
      <c r="E206" s="507"/>
      <c r="F206" s="66" t="s">
        <v>135</v>
      </c>
      <c r="G206" s="508">
        <f>$AX$67</f>
        <v>10</v>
      </c>
      <c r="H206" s="508"/>
      <c r="I206" s="429"/>
      <c r="J206" s="427"/>
      <c r="K206" s="427"/>
      <c r="L206" s="499"/>
      <c r="M206" s="499"/>
      <c r="N206" s="327"/>
      <c r="O206" s="327"/>
      <c r="P206" s="327"/>
      <c r="Q206" s="327"/>
      <c r="R206" s="327"/>
      <c r="S206" s="245"/>
      <c r="T206" s="44">
        <f t="shared" ref="T206" si="73">T205+1</f>
        <v>46</v>
      </c>
      <c r="U206" s="44"/>
      <c r="X206" s="347"/>
    </row>
    <row r="207" spans="1:24" ht="14.25">
      <c r="A207" s="30"/>
      <c r="B207" s="30"/>
      <c r="C207" s="30"/>
      <c r="D207" s="30"/>
      <c r="E207" s="30"/>
      <c r="F207" s="78"/>
      <c r="G207" s="78"/>
      <c r="H207" s="30"/>
      <c r="I207" s="30"/>
      <c r="J207" s="30"/>
      <c r="K207" s="30"/>
      <c r="L207" s="89"/>
      <c r="M207" s="89"/>
      <c r="N207" s="90"/>
      <c r="O207" s="90"/>
      <c r="P207" s="90"/>
      <c r="Q207" s="90"/>
      <c r="R207" s="30"/>
      <c r="S207" s="30"/>
      <c r="T207" s="44">
        <f t="shared" ref="T207:T216" si="74">T206+1</f>
        <v>47</v>
      </c>
      <c r="U207" s="44"/>
    </row>
    <row r="208" spans="1:24" ht="14.25">
      <c r="A208" s="134" t="s">
        <v>485</v>
      </c>
      <c r="B208" s="30"/>
      <c r="C208" s="30"/>
      <c r="D208" s="30"/>
      <c r="E208" s="30"/>
      <c r="F208" s="30"/>
      <c r="G208" s="30"/>
      <c r="H208" s="30"/>
      <c r="I208" s="30"/>
      <c r="J208" s="30"/>
      <c r="K208" s="30"/>
      <c r="L208" s="30"/>
      <c r="M208" s="30"/>
      <c r="N208" s="30"/>
      <c r="O208" s="30"/>
      <c r="P208" s="30"/>
      <c r="Q208" s="30"/>
      <c r="R208" s="30"/>
      <c r="S208" s="30"/>
      <c r="T208" s="44">
        <f t="shared" si="74"/>
        <v>48</v>
      </c>
      <c r="U208" s="44"/>
    </row>
    <row r="209" spans="1:21" ht="14.25">
      <c r="A209" s="44"/>
      <c r="B209" s="79"/>
      <c r="C209" s="429" t="s">
        <v>194</v>
      </c>
      <c r="D209" s="503" t="s">
        <v>185</v>
      </c>
      <c r="E209" s="427" t="str">
        <f>$AO$59</f>
        <v/>
      </c>
      <c r="F209" s="427"/>
      <c r="G209" s="429" t="s">
        <v>97</v>
      </c>
      <c r="H209" s="504" t="str">
        <f>$N$172</f>
        <v/>
      </c>
      <c r="I209" s="504"/>
      <c r="J209" s="505" t="s">
        <v>402</v>
      </c>
      <c r="K209" s="506"/>
      <c r="L209" s="498" t="str">
        <f>")×"&amp;$AV$59&amp;"×60×"&amp;$M$7&amp;"×"&amp;ROUND($G$15/10000,5)&amp;"×"</f>
        <v>)××60×0×0×</v>
      </c>
      <c r="M209" s="498"/>
      <c r="N209" s="498"/>
      <c r="O209" s="498"/>
      <c r="P209" s="498"/>
      <c r="Q209" s="498"/>
      <c r="R209" s="498"/>
      <c r="S209" s="244">
        <v>1</v>
      </c>
      <c r="T209" s="44">
        <f t="shared" si="74"/>
        <v>49</v>
      </c>
      <c r="U209" s="44"/>
    </row>
    <row r="210" spans="1:21" ht="13.5" customHeight="1">
      <c r="A210" s="30"/>
      <c r="B210" s="51"/>
      <c r="C210" s="429"/>
      <c r="D210" s="501"/>
      <c r="E210" s="427"/>
      <c r="F210" s="427"/>
      <c r="G210" s="429"/>
      <c r="H210" s="429">
        <v>2</v>
      </c>
      <c r="I210" s="429"/>
      <c r="J210" s="506"/>
      <c r="K210" s="506"/>
      <c r="L210" s="498"/>
      <c r="M210" s="498"/>
      <c r="N210" s="498"/>
      <c r="O210" s="498"/>
      <c r="P210" s="498"/>
      <c r="Q210" s="498"/>
      <c r="R210" s="498"/>
      <c r="S210" s="233">
        <v>360</v>
      </c>
      <c r="T210" s="44">
        <f t="shared" si="74"/>
        <v>50</v>
      </c>
      <c r="U210" s="44"/>
    </row>
    <row r="211" spans="1:21" ht="13.5" customHeight="1">
      <c r="A211" s="30"/>
      <c r="B211" s="239"/>
      <c r="C211" s="239"/>
      <c r="D211" s="233" t="s">
        <v>75</v>
      </c>
      <c r="E211" s="455" t="e">
        <f>ROUND(($AO$59-$N$172/2)*$AV$59*60*($M$7*$G$15/10000)/360,2)</f>
        <v>#VALUE!</v>
      </c>
      <c r="F211" s="455"/>
      <c r="G211" s="250" t="s">
        <v>76</v>
      </c>
      <c r="H211" s="80"/>
      <c r="I211" s="80"/>
      <c r="J211" s="80"/>
      <c r="K211" s="80"/>
      <c r="L211" s="80"/>
      <c r="M211" s="80"/>
      <c r="N211" s="233"/>
      <c r="O211" s="233"/>
      <c r="P211" s="44"/>
      <c r="Q211" s="44"/>
      <c r="R211" s="44"/>
      <c r="S211" s="44"/>
      <c r="T211" s="44">
        <f t="shared" si="74"/>
        <v>51</v>
      </c>
      <c r="U211" s="44"/>
    </row>
    <row r="212" spans="1:21" ht="13.5" customHeight="1">
      <c r="A212" s="30"/>
      <c r="B212" s="30"/>
      <c r="C212" s="30"/>
      <c r="D212" s="30"/>
      <c r="E212" s="30"/>
      <c r="F212" s="30"/>
      <c r="G212" s="30"/>
      <c r="H212" s="30"/>
      <c r="I212" s="30"/>
      <c r="J212" s="30"/>
      <c r="K212" s="30"/>
      <c r="L212" s="74"/>
      <c r="M212" s="74"/>
      <c r="N212" s="77"/>
      <c r="O212" s="77"/>
      <c r="P212" s="77"/>
      <c r="Q212" s="77"/>
      <c r="R212" s="77"/>
      <c r="S212" s="77"/>
      <c r="T212" s="44">
        <f t="shared" si="74"/>
        <v>52</v>
      </c>
      <c r="U212" s="44"/>
    </row>
    <row r="213" spans="1:21" ht="13.5" customHeight="1">
      <c r="A213" s="134" t="s">
        <v>399</v>
      </c>
      <c r="B213" s="30"/>
      <c r="C213" s="30"/>
      <c r="D213" s="30"/>
      <c r="E213" s="30"/>
      <c r="F213" s="30"/>
      <c r="G213" s="30"/>
      <c r="H213" s="30"/>
      <c r="I213" s="30"/>
      <c r="J213" s="30"/>
      <c r="K213" s="30"/>
      <c r="L213" s="30"/>
      <c r="M213" s="30"/>
      <c r="N213" s="30"/>
      <c r="O213" s="30"/>
      <c r="P213" s="30"/>
      <c r="Q213" s="30"/>
      <c r="R213" s="30"/>
      <c r="S213" s="30"/>
      <c r="T213" s="44">
        <f t="shared" si="74"/>
        <v>53</v>
      </c>
      <c r="U213" s="44"/>
    </row>
    <row r="214" spans="1:21" ht="13.5" customHeight="1">
      <c r="A214" s="30"/>
      <c r="B214" s="44"/>
      <c r="C214" s="234" t="s">
        <v>197</v>
      </c>
      <c r="D214" s="234" t="s">
        <v>75</v>
      </c>
      <c r="E214" s="438">
        <f>AS61</f>
        <v>15</v>
      </c>
      <c r="F214" s="438"/>
      <c r="G214" s="242" t="s">
        <v>130</v>
      </c>
      <c r="H214" s="479">
        <f>$G$15/10000</f>
        <v>0</v>
      </c>
      <c r="I214" s="479"/>
      <c r="J214" s="327"/>
      <c r="K214" s="327"/>
      <c r="L214" s="327"/>
      <c r="M214" s="327"/>
      <c r="N214" s="327"/>
      <c r="O214" s="327"/>
      <c r="P214" s="327"/>
      <c r="Q214" s="327"/>
      <c r="S214" s="30"/>
      <c r="T214" s="44">
        <f t="shared" si="74"/>
        <v>54</v>
      </c>
      <c r="U214" s="44"/>
    </row>
    <row r="215" spans="1:21" ht="13.5" customHeight="1">
      <c r="A215" s="30"/>
      <c r="B215" s="44"/>
      <c r="C215" s="234"/>
      <c r="D215" s="242" t="s">
        <v>75</v>
      </c>
      <c r="E215" s="480">
        <f>ROUND(E214*H214,2)</f>
        <v>0</v>
      </c>
      <c r="F215" s="480"/>
      <c r="G215" s="30" t="s">
        <v>76</v>
      </c>
      <c r="H215" s="236"/>
      <c r="I215" s="242"/>
      <c r="J215" s="242"/>
      <c r="K215" s="242"/>
      <c r="L215" s="242"/>
      <c r="M215" s="242"/>
      <c r="N215" s="242"/>
      <c r="O215" s="242"/>
      <c r="P215" s="242"/>
      <c r="Q215" s="30"/>
      <c r="R215" s="30"/>
      <c r="S215" s="30"/>
      <c r="T215" s="44">
        <f t="shared" si="74"/>
        <v>55</v>
      </c>
      <c r="U215" s="44"/>
    </row>
    <row r="216" spans="1:21" ht="13.5" customHeight="1">
      <c r="A216" s="30"/>
      <c r="B216" s="30"/>
      <c r="C216" s="30"/>
      <c r="D216" s="30"/>
      <c r="E216" s="30"/>
      <c r="F216" s="30"/>
      <c r="G216" s="30"/>
      <c r="H216" s="30"/>
      <c r="I216" s="30"/>
      <c r="J216" s="30"/>
      <c r="K216" s="30"/>
      <c r="L216" s="30"/>
      <c r="M216" s="30"/>
      <c r="N216" s="30"/>
      <c r="O216" s="30"/>
      <c r="P216" s="30"/>
      <c r="Q216" s="30"/>
      <c r="R216" s="30"/>
      <c r="S216" s="30"/>
      <c r="T216" s="44">
        <f t="shared" si="74"/>
        <v>56</v>
      </c>
      <c r="U216" s="44"/>
    </row>
    <row r="217" spans="1:21" ht="13.5" customHeight="1">
      <c r="A217" s="134" t="s">
        <v>486</v>
      </c>
      <c r="B217" s="30"/>
      <c r="C217" s="30"/>
      <c r="D217" s="30"/>
      <c r="E217" s="30"/>
      <c r="F217" s="30"/>
      <c r="G217" s="30"/>
      <c r="H217" s="30"/>
      <c r="I217" s="30"/>
      <c r="J217" s="30"/>
      <c r="K217" s="30"/>
      <c r="L217" s="30"/>
      <c r="M217" s="30"/>
      <c r="N217" s="30"/>
      <c r="O217" s="30"/>
      <c r="P217" s="30"/>
      <c r="Q217" s="30"/>
      <c r="R217" s="30"/>
      <c r="S217" s="30"/>
      <c r="T217" s="44">
        <v>1</v>
      </c>
      <c r="U217" s="44"/>
    </row>
    <row r="218" spans="1:21" ht="13.5" customHeight="1">
      <c r="A218" s="30"/>
      <c r="B218" s="30"/>
      <c r="C218" s="234" t="s">
        <v>86</v>
      </c>
      <c r="D218" s="234" t="s">
        <v>75</v>
      </c>
      <c r="E218" s="234" t="s">
        <v>74</v>
      </c>
      <c r="F218" s="234" t="s">
        <v>135</v>
      </c>
      <c r="G218" s="234" t="s">
        <v>80</v>
      </c>
      <c r="H218" s="236" t="s">
        <v>75</v>
      </c>
      <c r="I218" s="481" t="e">
        <f>ROUND($E$211,2)</f>
        <v>#VALUE!</v>
      </c>
      <c r="J218" s="482"/>
      <c r="K218" s="92" t="s">
        <v>135</v>
      </c>
      <c r="L218" s="481">
        <f>E215</f>
        <v>0</v>
      </c>
      <c r="M218" s="482"/>
      <c r="N218" s="44"/>
      <c r="O218" s="44"/>
      <c r="P218" s="44"/>
      <c r="Q218" s="44"/>
      <c r="R218" s="44"/>
      <c r="S218" s="44"/>
      <c r="T218" s="44">
        <f t="shared" ref="T218" si="75">T217+1</f>
        <v>2</v>
      </c>
      <c r="U218" s="44"/>
    </row>
    <row r="219" spans="1:21" ht="13.5" customHeight="1">
      <c r="A219" s="30"/>
      <c r="B219" s="30"/>
      <c r="C219" s="30"/>
      <c r="D219" s="249" t="s">
        <v>75</v>
      </c>
      <c r="E219" s="435" t="e">
        <f>I218+L218</f>
        <v>#VALUE!</v>
      </c>
      <c r="F219" s="435"/>
      <c r="G219" s="30" t="s">
        <v>76</v>
      </c>
      <c r="H219" s="80" t="e">
        <f>"（ｈａ当り "&amp;ROUND(E219/($G$15/10000),0)&amp;" m3)"</f>
        <v>#VALUE!</v>
      </c>
      <c r="I219" s="80"/>
      <c r="J219" s="80"/>
      <c r="K219" s="80"/>
      <c r="L219" s="80"/>
      <c r="M219" s="80"/>
      <c r="N219" s="30"/>
      <c r="O219" s="30"/>
      <c r="P219" s="30"/>
      <c r="Q219" s="30"/>
      <c r="R219" s="30"/>
      <c r="S219" s="30"/>
      <c r="T219" s="44">
        <f t="shared" ref="T219" si="76">T218+1</f>
        <v>3</v>
      </c>
      <c r="U219" s="44"/>
    </row>
    <row r="220" spans="1:21" ht="13.5" customHeight="1">
      <c r="A220" s="82"/>
      <c r="B220" s="82"/>
      <c r="C220" s="82"/>
      <c r="D220" s="82"/>
      <c r="E220" s="82"/>
      <c r="F220" s="82"/>
      <c r="G220" s="82"/>
      <c r="H220" s="82"/>
      <c r="I220" s="80"/>
      <c r="J220" s="80"/>
      <c r="K220" s="80"/>
      <c r="L220" s="80"/>
      <c r="M220" s="80"/>
      <c r="N220" s="80"/>
      <c r="O220" s="82"/>
      <c r="P220" s="82"/>
      <c r="Q220" s="82"/>
      <c r="R220" s="82"/>
      <c r="S220" s="82"/>
      <c r="T220" s="44">
        <f t="shared" ref="T220:T221" si="77">T219+1</f>
        <v>4</v>
      </c>
      <c r="U220" s="44"/>
    </row>
    <row r="221" spans="1:21" ht="13.5" customHeight="1">
      <c r="A221" s="134" t="s">
        <v>487</v>
      </c>
      <c r="B221" s="30"/>
      <c r="C221" s="30"/>
      <c r="D221" s="30"/>
      <c r="E221" s="30"/>
      <c r="F221" s="30"/>
      <c r="G221" s="30"/>
      <c r="H221" s="30"/>
      <c r="I221" s="30"/>
      <c r="J221" s="30"/>
      <c r="K221" s="30"/>
      <c r="L221" s="30"/>
      <c r="M221" s="30"/>
      <c r="N221" s="30"/>
      <c r="O221" s="30"/>
      <c r="P221" s="30"/>
      <c r="Q221" s="30"/>
      <c r="R221" s="30"/>
      <c r="S221" s="30"/>
      <c r="T221" s="44">
        <f t="shared" si="77"/>
        <v>5</v>
      </c>
      <c r="U221" s="44"/>
    </row>
    <row r="222" spans="1:21" ht="13.5" customHeight="1">
      <c r="A222" s="30"/>
      <c r="B222" s="30"/>
      <c r="C222" s="234" t="s">
        <v>101</v>
      </c>
      <c r="D222" s="234" t="s">
        <v>75</v>
      </c>
      <c r="E222" s="436" t="s">
        <v>199</v>
      </c>
      <c r="F222" s="436"/>
      <c r="G222" s="234" t="s">
        <v>130</v>
      </c>
      <c r="H222" s="436" t="s">
        <v>450</v>
      </c>
      <c r="I222" s="436"/>
      <c r="J222" s="234" t="s">
        <v>365</v>
      </c>
      <c r="K222" s="437" t="s">
        <v>202</v>
      </c>
      <c r="L222" s="437"/>
      <c r="M222" s="234" t="s">
        <v>130</v>
      </c>
      <c r="N222" s="246" t="s">
        <v>363</v>
      </c>
      <c r="O222" s="330"/>
      <c r="P222" s="330"/>
      <c r="Q222" s="330"/>
      <c r="R222" s="44"/>
      <c r="S222" s="44"/>
      <c r="T222" s="44">
        <f>T221+1</f>
        <v>6</v>
      </c>
      <c r="U222" s="44"/>
    </row>
    <row r="223" spans="1:21" ht="13.5" customHeight="1">
      <c r="A223" s="30"/>
      <c r="B223" s="30"/>
      <c r="C223" s="234"/>
      <c r="D223" s="234" t="s">
        <v>75</v>
      </c>
      <c r="E223" s="469">
        <f>I28</f>
        <v>0</v>
      </c>
      <c r="F223" s="469"/>
      <c r="G223" s="234" t="s">
        <v>130</v>
      </c>
      <c r="H223" s="469">
        <f>L28</f>
        <v>0</v>
      </c>
      <c r="I223" s="469"/>
      <c r="J223" s="234" t="s">
        <v>130</v>
      </c>
      <c r="K223" s="469">
        <f>$K$24</f>
        <v>1</v>
      </c>
      <c r="L223" s="469"/>
      <c r="M223" s="234" t="s">
        <v>130</v>
      </c>
      <c r="N223" s="121">
        <f>O28</f>
        <v>1</v>
      </c>
      <c r="O223" s="121"/>
      <c r="P223" s="121"/>
      <c r="Q223" s="121"/>
      <c r="R223" s="119"/>
      <c r="S223" s="44"/>
      <c r="T223" s="44">
        <f t="shared" ref="T223" si="78">T222+1</f>
        <v>7</v>
      </c>
      <c r="U223" s="44"/>
    </row>
    <row r="224" spans="1:21" ht="13.5" customHeight="1">
      <c r="A224" s="30"/>
      <c r="B224" s="30"/>
      <c r="C224" s="30"/>
      <c r="D224" s="249" t="s">
        <v>75</v>
      </c>
      <c r="E224" s="435">
        <f>E223*H223*K223*N223</f>
        <v>0</v>
      </c>
      <c r="F224" s="435"/>
      <c r="G224" s="30" t="s">
        <v>76</v>
      </c>
      <c r="H224" s="228" t="e">
        <f>IF(E224&gt;=E219,"ＯＫ","ＮＧ")</f>
        <v>#VALUE!</v>
      </c>
      <c r="I224" s="80"/>
      <c r="J224" s="80"/>
      <c r="K224" s="80"/>
      <c r="L224" s="80"/>
      <c r="M224" s="80"/>
      <c r="N224" s="30"/>
      <c r="O224" s="30"/>
      <c r="P224" s="30"/>
      <c r="Q224" s="30"/>
      <c r="R224" s="30"/>
      <c r="S224" s="30"/>
      <c r="T224" s="44">
        <f>T223+1</f>
        <v>8</v>
      </c>
      <c r="U224" s="44"/>
    </row>
    <row r="225" spans="1:21" ht="13.5" customHeight="1">
      <c r="A225" s="44"/>
      <c r="B225" s="44"/>
      <c r="C225" s="44"/>
      <c r="D225" s="46"/>
      <c r="E225" s="47"/>
      <c r="F225" s="240"/>
      <c r="G225" s="30"/>
      <c r="H225" s="44"/>
      <c r="I225" s="44"/>
      <c r="J225" s="44"/>
      <c r="K225" s="44"/>
      <c r="L225" s="44"/>
      <c r="M225" s="44"/>
      <c r="N225" s="44"/>
      <c r="O225" s="44"/>
      <c r="P225" s="44"/>
      <c r="Q225" s="44"/>
      <c r="R225" s="44"/>
      <c r="S225" s="44"/>
      <c r="T225" s="44">
        <f t="shared" ref="T225:T226" si="79">T224+1</f>
        <v>9</v>
      </c>
      <c r="U225" s="44"/>
    </row>
    <row r="226" spans="1:21" ht="13.5" customHeight="1">
      <c r="A226" s="134" t="s">
        <v>400</v>
      </c>
      <c r="B226" s="44"/>
      <c r="C226" s="44"/>
      <c r="D226" s="44"/>
      <c r="E226" s="44"/>
      <c r="F226" s="44"/>
      <c r="G226" s="44"/>
      <c r="H226" s="44"/>
      <c r="I226" s="44"/>
      <c r="J226" s="44"/>
      <c r="K226" s="44"/>
      <c r="L226" s="44"/>
      <c r="M226" s="44"/>
      <c r="N226" s="44"/>
      <c r="O226" s="44"/>
      <c r="P226" s="44"/>
      <c r="Q226" s="44"/>
      <c r="R226" s="44"/>
      <c r="S226" s="44"/>
      <c r="T226" s="44">
        <f t="shared" si="79"/>
        <v>10</v>
      </c>
      <c r="U226" s="44"/>
    </row>
    <row r="227" spans="1:21" ht="13.5" customHeight="1">
      <c r="A227" s="250"/>
      <c r="B227" s="31"/>
      <c r="C227" s="31" t="s">
        <v>600</v>
      </c>
      <c r="D227" s="250"/>
      <c r="E227" s="250"/>
      <c r="F227" s="250"/>
      <c r="G227" s="250"/>
      <c r="H227" s="250"/>
      <c r="I227" s="250"/>
      <c r="J227" s="250"/>
      <c r="K227" s="250"/>
      <c r="L227" s="250"/>
      <c r="M227" s="250"/>
      <c r="N227" s="250"/>
      <c r="O227" s="31"/>
      <c r="P227" s="250"/>
      <c r="Q227" s="250"/>
      <c r="R227" s="250"/>
      <c r="S227" s="250"/>
      <c r="T227" s="44">
        <f t="shared" ref="T227:T235" si="80">T226+1</f>
        <v>11</v>
      </c>
      <c r="U227" s="44"/>
    </row>
    <row r="228" spans="1:21" ht="13.5" customHeight="1">
      <c r="A228" s="250"/>
      <c r="B228" s="31"/>
      <c r="C228" s="31"/>
      <c r="D228" s="233" t="s">
        <v>604</v>
      </c>
      <c r="E228" s="233" t="s">
        <v>75</v>
      </c>
      <c r="F228" s="428" t="e">
        <f>E219</f>
        <v>#VALUE!</v>
      </c>
      <c r="G228" s="429"/>
      <c r="H228" s="233" t="s">
        <v>177</v>
      </c>
      <c r="I228" s="430">
        <f>H223</f>
        <v>0</v>
      </c>
      <c r="J228" s="429"/>
      <c r="K228" s="233" t="s">
        <v>130</v>
      </c>
      <c r="L228" s="431">
        <f>K223</f>
        <v>1</v>
      </c>
      <c r="M228" s="432"/>
      <c r="N228" s="233" t="s">
        <v>635</v>
      </c>
      <c r="O228" s="433" t="e">
        <f>F228/(I228*L228)</f>
        <v>#VALUE!</v>
      </c>
      <c r="P228" s="434"/>
      <c r="Q228" s="250" t="s">
        <v>73</v>
      </c>
      <c r="R228" s="341" t="e">
        <f>IF(O228&lt;=H169,"ＯＫ","ＮＧ")</f>
        <v>#VALUE!</v>
      </c>
      <c r="S228" s="250"/>
      <c r="T228" s="44">
        <f t="shared" si="80"/>
        <v>12</v>
      </c>
      <c r="U228" s="44"/>
    </row>
    <row r="229" spans="1:21" ht="13.5" customHeight="1">
      <c r="A229" s="333"/>
      <c r="B229" s="31"/>
      <c r="C229" s="31" t="s">
        <v>602</v>
      </c>
      <c r="D229" s="333"/>
      <c r="E229" s="333"/>
      <c r="F229" s="333"/>
      <c r="G229" s="333"/>
      <c r="H229" s="333"/>
      <c r="I229" s="333"/>
      <c r="J229" s="333"/>
      <c r="K229" s="333"/>
      <c r="L229" s="333"/>
      <c r="M229" s="333"/>
      <c r="N229" s="333"/>
      <c r="O229" s="31"/>
      <c r="P229" s="333"/>
      <c r="Q229" s="333"/>
      <c r="R229" s="333"/>
      <c r="S229" s="333"/>
      <c r="T229" s="44">
        <f t="shared" si="80"/>
        <v>13</v>
      </c>
      <c r="U229" s="44"/>
    </row>
    <row r="230" spans="1:21" ht="13.5" customHeight="1">
      <c r="A230" s="333"/>
      <c r="B230" s="31"/>
      <c r="C230" s="31"/>
      <c r="D230" s="332" t="s">
        <v>603</v>
      </c>
      <c r="E230" s="332" t="s">
        <v>75</v>
      </c>
      <c r="F230" s="428" t="e">
        <f>O228</f>
        <v>#VALUE!</v>
      </c>
      <c r="G230" s="429"/>
      <c r="H230" s="332" t="s">
        <v>598</v>
      </c>
      <c r="I230" s="430">
        <f>K37</f>
        <v>0</v>
      </c>
      <c r="J230" s="429"/>
      <c r="K230" s="332" t="s">
        <v>75</v>
      </c>
      <c r="L230" s="430" t="e">
        <f>F230+I230</f>
        <v>#VALUE!</v>
      </c>
      <c r="M230" s="430"/>
      <c r="N230" s="333" t="s">
        <v>73</v>
      </c>
      <c r="O230" s="31"/>
      <c r="P230" s="333"/>
      <c r="Q230" s="333"/>
      <c r="R230" s="333"/>
      <c r="S230" s="333"/>
      <c r="T230" s="44">
        <f t="shared" si="80"/>
        <v>14</v>
      </c>
      <c r="U230" s="44"/>
    </row>
    <row r="231" spans="1:21" ht="13.5" customHeight="1">
      <c r="A231" s="250"/>
      <c r="B231" s="31"/>
      <c r="C231" s="31" t="s">
        <v>504</v>
      </c>
      <c r="D231" s="250"/>
      <c r="E231" s="250"/>
      <c r="F231" s="250"/>
      <c r="G231" s="250"/>
      <c r="H231" s="250"/>
      <c r="I231" s="250"/>
      <c r="J231" s="250"/>
      <c r="K231" s="250"/>
      <c r="L231" s="250"/>
      <c r="M231" s="250"/>
      <c r="N231" s="250"/>
      <c r="O231" s="31"/>
      <c r="P231" s="250"/>
      <c r="Q231" s="250"/>
      <c r="R231" s="250"/>
      <c r="S231" s="250"/>
      <c r="T231" s="44">
        <f t="shared" si="80"/>
        <v>15</v>
      </c>
      <c r="U231" s="44"/>
    </row>
    <row r="232" spans="1:21" ht="13.5" customHeight="1">
      <c r="A232" s="250"/>
      <c r="B232" s="31"/>
      <c r="C232" s="250"/>
      <c r="D232" s="432"/>
      <c r="E232" s="432"/>
      <c r="F232" s="432"/>
      <c r="G232" s="432"/>
      <c r="H232" s="432"/>
      <c r="I232" s="432"/>
      <c r="J232" s="432"/>
      <c r="K232" s="432"/>
      <c r="L232" s="432"/>
      <c r="M232" s="432"/>
      <c r="N232" s="432"/>
      <c r="O232" s="43"/>
      <c r="P232" s="43"/>
      <c r="Q232" s="43"/>
      <c r="R232" s="250"/>
      <c r="S232" s="43"/>
      <c r="T232" s="44">
        <f t="shared" si="80"/>
        <v>16</v>
      </c>
      <c r="U232" s="44"/>
    </row>
    <row r="233" spans="1:21" ht="13.5" customHeight="1">
      <c r="A233" s="250"/>
      <c r="B233" s="31"/>
      <c r="C233" s="250"/>
      <c r="D233" s="432"/>
      <c r="E233" s="432"/>
      <c r="F233" s="432"/>
      <c r="G233" s="432"/>
      <c r="H233" s="77"/>
      <c r="I233" s="344"/>
      <c r="J233" s="344"/>
      <c r="K233" s="344"/>
      <c r="L233" s="344"/>
      <c r="M233" s="432"/>
      <c r="N233" s="432"/>
      <c r="O233" s="43"/>
      <c r="P233" s="43"/>
      <c r="Q233" s="43"/>
      <c r="R233" s="250"/>
      <c r="S233" s="250"/>
      <c r="T233" s="44">
        <f t="shared" si="80"/>
        <v>17</v>
      </c>
      <c r="U233" s="44"/>
    </row>
    <row r="234" spans="1:21" ht="13.5" customHeight="1">
      <c r="A234" s="250"/>
      <c r="B234" s="31"/>
      <c r="C234" s="250"/>
      <c r="D234" s="250"/>
      <c r="E234" s="429" t="s">
        <v>75</v>
      </c>
      <c r="F234" s="497">
        <f>$E$164</f>
        <v>0</v>
      </c>
      <c r="G234" s="455"/>
      <c r="H234" s="455"/>
      <c r="I234" s="455"/>
      <c r="J234" s="455"/>
      <c r="K234" s="455"/>
      <c r="L234" s="455"/>
      <c r="M234" s="455"/>
      <c r="N234" s="455"/>
      <c r="O234" s="429" t="s">
        <v>75</v>
      </c>
      <c r="P234" s="449" t="e">
        <f>ROUND($F$234/($K$36*SQRT(2*9.8*$M$235)),5)</f>
        <v>#VALUE!</v>
      </c>
      <c r="Q234" s="449"/>
      <c r="R234" s="429" t="s">
        <v>63</v>
      </c>
      <c r="S234" s="250"/>
      <c r="T234" s="44">
        <f t="shared" si="80"/>
        <v>18</v>
      </c>
      <c r="U234" s="44"/>
    </row>
    <row r="235" spans="1:21" ht="13.5" customHeight="1">
      <c r="A235" s="250"/>
      <c r="B235" s="31"/>
      <c r="C235" s="250"/>
      <c r="D235" s="250"/>
      <c r="E235" s="429"/>
      <c r="F235" s="427">
        <f>$K$36</f>
        <v>0.6</v>
      </c>
      <c r="G235" s="427"/>
      <c r="H235" s="77" t="s">
        <v>130</v>
      </c>
      <c r="I235" s="247">
        <v>2</v>
      </c>
      <c r="J235" s="247" t="s">
        <v>130</v>
      </c>
      <c r="K235" s="233">
        <v>9.8000000000000007</v>
      </c>
      <c r="L235" s="247" t="s">
        <v>130</v>
      </c>
      <c r="M235" s="427" t="e">
        <f>$L$230</f>
        <v>#VALUE!</v>
      </c>
      <c r="N235" s="427"/>
      <c r="O235" s="429"/>
      <c r="P235" s="449"/>
      <c r="Q235" s="449"/>
      <c r="R235" s="450"/>
      <c r="S235" s="250"/>
      <c r="T235" s="44">
        <f t="shared" si="80"/>
        <v>19</v>
      </c>
      <c r="U235" s="44"/>
    </row>
    <row r="236" spans="1:21" ht="13.5" customHeight="1">
      <c r="A236" s="250"/>
      <c r="B236" s="31"/>
      <c r="C236" s="44" t="s">
        <v>100</v>
      </c>
      <c r="D236" s="250"/>
      <c r="E236" s="233" t="s">
        <v>203</v>
      </c>
      <c r="F236" s="240" t="s">
        <v>102</v>
      </c>
      <c r="G236" s="84" t="s">
        <v>505</v>
      </c>
      <c r="H236" s="238"/>
      <c r="I236" s="233"/>
      <c r="J236" s="233"/>
      <c r="K236" s="233"/>
      <c r="L236" s="233"/>
      <c r="M236" s="248"/>
      <c r="N236" s="248"/>
      <c r="O236" s="233"/>
      <c r="P236" s="233"/>
      <c r="Q236" s="233"/>
      <c r="R236" s="250"/>
      <c r="S236" s="250"/>
      <c r="T236" s="44">
        <f t="shared" ref="T236" si="81">T235+1</f>
        <v>20</v>
      </c>
      <c r="U236" s="44"/>
    </row>
    <row r="237" spans="1:21" ht="13.5" customHeight="1">
      <c r="A237" s="250"/>
      <c r="B237" s="31"/>
      <c r="C237" s="250"/>
      <c r="D237" s="250"/>
      <c r="E237" s="233" t="s">
        <v>204</v>
      </c>
      <c r="F237" s="240" t="s">
        <v>102</v>
      </c>
      <c r="G237" s="84" t="s">
        <v>506</v>
      </c>
      <c r="H237" s="238"/>
      <c r="I237" s="233"/>
      <c r="J237" s="233"/>
      <c r="K237" s="233"/>
      <c r="L237" s="233"/>
      <c r="M237" s="248"/>
      <c r="N237" s="248"/>
      <c r="O237" s="233"/>
      <c r="P237" s="233"/>
      <c r="Q237" s="233"/>
      <c r="R237" s="250"/>
      <c r="S237" s="250"/>
      <c r="T237" s="44">
        <f t="shared" ref="T237" si="82">T236+1</f>
        <v>21</v>
      </c>
      <c r="U237" s="44"/>
    </row>
    <row r="238" spans="1:21" ht="13.5" customHeight="1">
      <c r="A238" s="250"/>
      <c r="B238" s="31"/>
      <c r="C238" s="250"/>
      <c r="D238" s="250"/>
      <c r="E238" s="233" t="s">
        <v>603</v>
      </c>
      <c r="F238" s="240" t="s">
        <v>102</v>
      </c>
      <c r="G238" s="84" t="s">
        <v>605</v>
      </c>
      <c r="H238" s="238"/>
      <c r="I238" s="233"/>
      <c r="J238" s="233"/>
      <c r="K238" s="233"/>
      <c r="L238" s="233"/>
      <c r="M238" s="248"/>
      <c r="N238" s="248"/>
      <c r="O238" s="233"/>
      <c r="P238" s="233"/>
      <c r="Q238" s="233"/>
      <c r="R238" s="250"/>
      <c r="S238" s="250"/>
      <c r="T238" s="44">
        <f t="shared" ref="T238" si="83">T237+1</f>
        <v>22</v>
      </c>
      <c r="U238" s="44"/>
    </row>
    <row r="239" spans="1:21" ht="13.5" customHeight="1">
      <c r="A239" s="250"/>
      <c r="B239" s="31"/>
      <c r="C239" s="250"/>
      <c r="D239" s="233"/>
      <c r="E239" s="233"/>
      <c r="F239" s="233"/>
      <c r="G239" s="233"/>
      <c r="H239" s="250"/>
      <c r="I239" s="31"/>
      <c r="J239" s="31"/>
      <c r="K239" s="250"/>
      <c r="L239" s="250"/>
      <c r="M239" s="31"/>
      <c r="N239" s="31"/>
      <c r="O239" s="233"/>
      <c r="P239" s="233"/>
      <c r="Q239" s="233"/>
      <c r="R239" s="233"/>
      <c r="S239" s="233"/>
      <c r="T239" s="44">
        <f t="shared" ref="T239" si="84">T238+1</f>
        <v>23</v>
      </c>
      <c r="U239" s="44"/>
    </row>
    <row r="240" spans="1:21" ht="13.5" customHeight="1">
      <c r="A240" s="250"/>
      <c r="B240" s="31"/>
      <c r="C240" s="31" t="s">
        <v>507</v>
      </c>
      <c r="D240" s="233"/>
      <c r="E240" s="233"/>
      <c r="F240" s="233"/>
      <c r="G240" s="250"/>
      <c r="H240" s="250"/>
      <c r="I240" s="31"/>
      <c r="J240" s="31"/>
      <c r="K240" s="250"/>
      <c r="L240" s="31"/>
      <c r="M240" s="31"/>
      <c r="N240" s="31"/>
      <c r="O240" s="31"/>
      <c r="P240" s="31"/>
      <c r="Q240" s="31"/>
      <c r="R240" s="31"/>
      <c r="S240" s="31"/>
      <c r="T240" s="44">
        <f t="shared" ref="T240" si="85">T239+1</f>
        <v>24</v>
      </c>
      <c r="U240" s="44"/>
    </row>
    <row r="241" spans="1:21" ht="13.5" customHeight="1">
      <c r="A241" s="31"/>
      <c r="B241" s="31"/>
      <c r="C241" s="250"/>
      <c r="D241" s="429" t="s">
        <v>93</v>
      </c>
      <c r="E241" s="429" t="s">
        <v>75</v>
      </c>
      <c r="F241" s="233"/>
      <c r="G241" s="244">
        <v>4</v>
      </c>
      <c r="H241" s="85" t="s">
        <v>130</v>
      </c>
      <c r="I241" s="85" t="s">
        <v>92</v>
      </c>
      <c r="J241" s="429" t="s">
        <v>75</v>
      </c>
      <c r="K241" s="233"/>
      <c r="L241" s="244">
        <v>4</v>
      </c>
      <c r="M241" s="85" t="s">
        <v>130</v>
      </c>
      <c r="N241" s="455" t="e">
        <f>P234</f>
        <v>#VALUE!</v>
      </c>
      <c r="O241" s="455"/>
      <c r="P241" s="43"/>
      <c r="Q241" s="43"/>
      <c r="R241" s="31"/>
      <c r="S241" s="31"/>
      <c r="T241" s="44">
        <f t="shared" ref="T241" si="86">T240+1</f>
        <v>25</v>
      </c>
      <c r="U241" s="44"/>
    </row>
    <row r="242" spans="1:21" ht="13.5" customHeight="1">
      <c r="A242" s="31"/>
      <c r="B242" s="31"/>
      <c r="C242" s="250"/>
      <c r="D242" s="429"/>
      <c r="E242" s="429"/>
      <c r="F242" s="233"/>
      <c r="G242" s="31"/>
      <c r="H242" s="31" t="s">
        <v>205</v>
      </c>
      <c r="I242" s="31"/>
      <c r="J242" s="429"/>
      <c r="K242" s="233"/>
      <c r="L242" s="31"/>
      <c r="M242" s="31" t="s">
        <v>205</v>
      </c>
      <c r="N242" s="31"/>
      <c r="O242" s="43"/>
      <c r="P242" s="43"/>
      <c r="Q242" s="43"/>
      <c r="R242" s="31"/>
      <c r="S242" s="31"/>
      <c r="T242" s="44">
        <f t="shared" ref="T242" si="87">T241+1</f>
        <v>26</v>
      </c>
      <c r="U242" s="44"/>
    </row>
    <row r="243" spans="1:21" ht="13.5" customHeight="1">
      <c r="A243" s="31"/>
      <c r="B243" s="31"/>
      <c r="C243" s="31"/>
      <c r="D243" s="31"/>
      <c r="E243" s="233" t="s">
        <v>75</v>
      </c>
      <c r="F243" s="445" t="e">
        <f>ROUNDDOWN(SQRT(4*P234/PI()),4)</f>
        <v>#VALUE!</v>
      </c>
      <c r="G243" s="445"/>
      <c r="H243" s="31" t="s">
        <v>73</v>
      </c>
      <c r="I243" s="43"/>
      <c r="J243" s="43"/>
      <c r="K243" s="43"/>
      <c r="L243" s="43"/>
      <c r="M243" s="43"/>
      <c r="N243" s="43"/>
      <c r="O243" s="43"/>
      <c r="P243" s="31"/>
      <c r="Q243" s="31"/>
      <c r="R243" s="31"/>
      <c r="S243" s="31"/>
      <c r="T243" s="44">
        <f t="shared" ref="T243" si="88">T242+1</f>
        <v>27</v>
      </c>
      <c r="U243" s="44"/>
    </row>
    <row r="244" spans="1:21" ht="13.5" customHeight="1">
      <c r="A244" s="44"/>
      <c r="B244" s="44"/>
      <c r="C244" s="44"/>
      <c r="D244" s="44"/>
      <c r="E244" s="247" t="s">
        <v>94</v>
      </c>
      <c r="F244" s="446" t="e">
        <f>ROUNDDOWN(F243*1000,0)</f>
        <v>#VALUE!</v>
      </c>
      <c r="G244" s="447"/>
      <c r="H244" s="31" t="s">
        <v>95</v>
      </c>
      <c r="J244" s="342" t="e">
        <f>IF(F244&gt;=30,"ＯＫ","ＮＧ")</f>
        <v>#VALUE!</v>
      </c>
      <c r="K244" s="44"/>
      <c r="L244" s="44"/>
      <c r="M244" s="44"/>
      <c r="N244" s="44"/>
      <c r="O244" s="44"/>
      <c r="P244" s="44"/>
      <c r="Q244" s="44"/>
      <c r="R244" s="44"/>
      <c r="S244" s="44"/>
      <c r="T244" s="44">
        <f t="shared" ref="T244" si="89">T243+1</f>
        <v>28</v>
      </c>
      <c r="U244" s="44"/>
    </row>
    <row r="245" spans="1:21" ht="13.5" customHeight="1">
      <c r="A245" s="30"/>
      <c r="B245" s="30"/>
      <c r="C245" s="30"/>
      <c r="D245" s="30"/>
      <c r="E245" s="30"/>
      <c r="F245" s="30"/>
      <c r="G245" s="30"/>
      <c r="H245" s="30"/>
      <c r="I245" s="30"/>
      <c r="J245" s="30"/>
      <c r="K245" s="30"/>
      <c r="L245" s="30"/>
      <c r="M245" s="30"/>
      <c r="N245" s="30"/>
      <c r="O245" s="30"/>
      <c r="P245" s="30"/>
      <c r="Q245" s="30"/>
      <c r="R245" s="30"/>
      <c r="S245" s="30"/>
      <c r="T245" s="44">
        <f t="shared" ref="T245:T246" si="90">T244+1</f>
        <v>29</v>
      </c>
      <c r="U245" s="44"/>
    </row>
    <row r="246" spans="1:21" ht="13.5" customHeight="1">
      <c r="A246" s="30"/>
      <c r="B246" s="30"/>
      <c r="C246" s="30" t="s">
        <v>374</v>
      </c>
      <c r="D246" s="30"/>
      <c r="E246" s="30"/>
      <c r="F246" s="30"/>
      <c r="G246" s="30"/>
      <c r="H246" s="30"/>
      <c r="I246" s="30"/>
      <c r="J246" s="30"/>
      <c r="K246" s="30"/>
      <c r="L246" s="30"/>
      <c r="M246" s="30"/>
      <c r="N246" s="30"/>
      <c r="O246" s="30"/>
      <c r="P246" s="30"/>
      <c r="Q246" s="30"/>
      <c r="R246" s="30"/>
      <c r="S246" s="30"/>
      <c r="T246" s="44">
        <f t="shared" si="90"/>
        <v>30</v>
      </c>
      <c r="U246" s="44"/>
    </row>
    <row r="247" spans="1:21" ht="13.5" customHeight="1">
      <c r="A247" s="30"/>
      <c r="B247" s="30"/>
      <c r="C247" s="30"/>
      <c r="D247" s="234" t="s">
        <v>206</v>
      </c>
      <c r="E247" s="233" t="s">
        <v>75</v>
      </c>
      <c r="F247" s="50" t="s">
        <v>207</v>
      </c>
      <c r="G247" s="234"/>
      <c r="H247" s="234">
        <v>2</v>
      </c>
      <c r="I247" s="234" t="s">
        <v>130</v>
      </c>
      <c r="J247" s="234" t="s">
        <v>204</v>
      </c>
      <c r="K247" s="234" t="s">
        <v>130</v>
      </c>
      <c r="L247" s="234" t="s">
        <v>603</v>
      </c>
      <c r="M247" s="30"/>
      <c r="N247" s="234"/>
      <c r="O247" s="234"/>
      <c r="P247" s="30"/>
      <c r="Q247" s="30"/>
      <c r="R247" s="30"/>
      <c r="S247" s="30"/>
      <c r="T247" s="44">
        <f t="shared" ref="T247" si="91">T246+1</f>
        <v>31</v>
      </c>
      <c r="U247" s="44"/>
    </row>
    <row r="248" spans="1:21" ht="13.5" customHeight="1">
      <c r="A248" s="30"/>
      <c r="B248" s="30"/>
      <c r="C248" s="30"/>
      <c r="D248" s="30"/>
      <c r="E248" s="233" t="s">
        <v>75</v>
      </c>
      <c r="F248" s="448" t="e">
        <f>F244/1000</f>
        <v>#VALUE!</v>
      </c>
      <c r="G248" s="448"/>
      <c r="H248" s="86">
        <v>2</v>
      </c>
      <c r="I248" s="50" t="s">
        <v>208</v>
      </c>
      <c r="J248" s="93"/>
      <c r="K248" s="234"/>
      <c r="L248" s="30"/>
      <c r="M248" s="454" t="s">
        <v>209</v>
      </c>
      <c r="N248" s="454"/>
      <c r="O248" s="454" t="e">
        <f>$L$230</f>
        <v>#VALUE!</v>
      </c>
      <c r="P248" s="454"/>
      <c r="Q248" s="30"/>
      <c r="R248" s="30"/>
      <c r="S248" s="30"/>
      <c r="T248" s="44">
        <f t="shared" ref="T248" si="92">T247+1</f>
        <v>32</v>
      </c>
      <c r="U248" s="44"/>
    </row>
    <row r="249" spans="1:21" ht="13.5" customHeight="1">
      <c r="A249" s="30"/>
      <c r="B249" s="30"/>
      <c r="C249" s="30"/>
      <c r="D249" s="30"/>
      <c r="E249" s="233" t="s">
        <v>75</v>
      </c>
      <c r="F249" s="424" t="e">
        <f>ROUND((F244/1000)^2*PI()/4*$K$36*(2*9.8*$L$230)^(1/2),5)</f>
        <v>#VALUE!</v>
      </c>
      <c r="G249" s="425"/>
      <c r="H249" s="30" t="s">
        <v>64</v>
      </c>
      <c r="J249" s="340" t="e">
        <f>IF(F249&lt;=E164,"ＯＫ","ＮＧ")</f>
        <v>#VALUE!</v>
      </c>
      <c r="K249" s="30"/>
      <c r="L249" s="30"/>
      <c r="M249" s="31"/>
      <c r="N249" s="30"/>
      <c r="O249" s="30"/>
      <c r="P249" s="30"/>
      <c r="Q249" s="30"/>
      <c r="R249" s="30"/>
      <c r="S249" s="30"/>
      <c r="T249" s="44">
        <f t="shared" ref="T249" si="93">T248+1</f>
        <v>33</v>
      </c>
      <c r="U249" s="44"/>
    </row>
    <row r="250" spans="1:21" ht="13.5" customHeight="1">
      <c r="A250" s="30"/>
      <c r="B250" s="30"/>
      <c r="C250" s="30"/>
      <c r="D250" s="30"/>
      <c r="E250" s="30"/>
      <c r="F250" s="30"/>
      <c r="G250" s="30"/>
      <c r="H250" s="30"/>
      <c r="I250" s="30"/>
      <c r="J250" s="30"/>
      <c r="K250" s="30"/>
      <c r="L250" s="30"/>
      <c r="M250" s="31"/>
      <c r="N250" s="30"/>
      <c r="O250" s="30"/>
      <c r="P250" s="30"/>
      <c r="Q250" s="30"/>
      <c r="R250" s="30"/>
      <c r="S250" s="30"/>
      <c r="T250" s="44">
        <f t="shared" ref="T250" si="94">T249+1</f>
        <v>34</v>
      </c>
      <c r="U250" s="44"/>
    </row>
  </sheetData>
  <sheetProtection algorithmName="SHA-512" hashValue="CckT01aw57K+pIGWeOoVqKd7/ERdjQQx7DWDV7A93dcg5cI00F1UhJKB72bmtSSRvK2WSKpMQFD1n9hVtM1UMA==" saltValue="mh8U8VSY7N1jk+XmKTA/sw==" spinCount="100000" sheet="1" objects="1" scenarios="1" selectLockedCells="1"/>
  <mergeCells count="506">
    <mergeCell ref="H6:R6"/>
    <mergeCell ref="H57:R57"/>
    <mergeCell ref="C101:G101"/>
    <mergeCell ref="H99:J99"/>
    <mergeCell ref="K99:M99"/>
    <mergeCell ref="N99:P99"/>
    <mergeCell ref="Q99:R99"/>
    <mergeCell ref="H100:J100"/>
    <mergeCell ref="K100:M100"/>
    <mergeCell ref="N100:P100"/>
    <mergeCell ref="Q100:R100"/>
    <mergeCell ref="H101:J101"/>
    <mergeCell ref="K101:M101"/>
    <mergeCell ref="N101:P101"/>
    <mergeCell ref="Q101:R101"/>
    <mergeCell ref="H96:J96"/>
    <mergeCell ref="K96:M96"/>
    <mergeCell ref="N96:P96"/>
    <mergeCell ref="Q96:R96"/>
    <mergeCell ref="H97:J97"/>
    <mergeCell ref="K97:M97"/>
    <mergeCell ref="N97:P97"/>
    <mergeCell ref="Q97:R97"/>
    <mergeCell ref="H98:J98"/>
    <mergeCell ref="K98:M98"/>
    <mergeCell ref="N98:P98"/>
    <mergeCell ref="Q98:R98"/>
    <mergeCell ref="H93:J93"/>
    <mergeCell ref="K93:M93"/>
    <mergeCell ref="N93:P93"/>
    <mergeCell ref="Q93:R93"/>
    <mergeCell ref="H94:J94"/>
    <mergeCell ref="K94:M94"/>
    <mergeCell ref="N94:P94"/>
    <mergeCell ref="Q94:R94"/>
    <mergeCell ref="H95:J95"/>
    <mergeCell ref="K95:M95"/>
    <mergeCell ref="N95:P95"/>
    <mergeCell ref="Q95:R95"/>
    <mergeCell ref="K88:L88"/>
    <mergeCell ref="K90:L90"/>
    <mergeCell ref="H91:J91"/>
    <mergeCell ref="K91:M91"/>
    <mergeCell ref="N91:P91"/>
    <mergeCell ref="Q91:R91"/>
    <mergeCell ref="H92:J92"/>
    <mergeCell ref="K92:M92"/>
    <mergeCell ref="N92:P92"/>
    <mergeCell ref="Q92:R92"/>
    <mergeCell ref="D79:H79"/>
    <mergeCell ref="I79:K79"/>
    <mergeCell ref="L79:N79"/>
    <mergeCell ref="O79:P79"/>
    <mergeCell ref="K83:L83"/>
    <mergeCell ref="K84:L84"/>
    <mergeCell ref="K85:L85"/>
    <mergeCell ref="K87:L87"/>
    <mergeCell ref="J80:N80"/>
    <mergeCell ref="D72:F72"/>
    <mergeCell ref="G72:I72"/>
    <mergeCell ref="J72:K72"/>
    <mergeCell ref="L72:M72"/>
    <mergeCell ref="N72:R72"/>
    <mergeCell ref="K75:M75"/>
    <mergeCell ref="D77:H78"/>
    <mergeCell ref="I77:K77"/>
    <mergeCell ref="L77:N77"/>
    <mergeCell ref="O77:P77"/>
    <mergeCell ref="I78:K78"/>
    <mergeCell ref="L78:N78"/>
    <mergeCell ref="O78:P78"/>
    <mergeCell ref="D70:F70"/>
    <mergeCell ref="G70:I70"/>
    <mergeCell ref="J70:K70"/>
    <mergeCell ref="L70:M70"/>
    <mergeCell ref="N70:R70"/>
    <mergeCell ref="D71:F71"/>
    <mergeCell ref="G71:I71"/>
    <mergeCell ref="J71:K71"/>
    <mergeCell ref="L71:M71"/>
    <mergeCell ref="N71:R71"/>
    <mergeCell ref="M67:N67"/>
    <mergeCell ref="D68:F68"/>
    <mergeCell ref="G68:I68"/>
    <mergeCell ref="J68:K68"/>
    <mergeCell ref="L68:M68"/>
    <mergeCell ref="N68:R68"/>
    <mergeCell ref="D69:F69"/>
    <mergeCell ref="G69:I69"/>
    <mergeCell ref="J69:K69"/>
    <mergeCell ref="L69:M69"/>
    <mergeCell ref="N69:R69"/>
    <mergeCell ref="D65:F65"/>
    <mergeCell ref="G65:I65"/>
    <mergeCell ref="J65:K65"/>
    <mergeCell ref="L65:M65"/>
    <mergeCell ref="N65:R65"/>
    <mergeCell ref="D66:F66"/>
    <mergeCell ref="G66:I66"/>
    <mergeCell ref="L66:M66"/>
    <mergeCell ref="N66:R66"/>
    <mergeCell ref="D63:F63"/>
    <mergeCell ref="G63:I63"/>
    <mergeCell ref="J63:K63"/>
    <mergeCell ref="L63:M63"/>
    <mergeCell ref="N63:R63"/>
    <mergeCell ref="D64:F64"/>
    <mergeCell ref="G64:I64"/>
    <mergeCell ref="J64:K64"/>
    <mergeCell ref="L64:M64"/>
    <mergeCell ref="N64:R64"/>
    <mergeCell ref="D61:F61"/>
    <mergeCell ref="G61:I61"/>
    <mergeCell ref="J61:K61"/>
    <mergeCell ref="L61:M61"/>
    <mergeCell ref="N61:R61"/>
    <mergeCell ref="D62:F62"/>
    <mergeCell ref="G62:I62"/>
    <mergeCell ref="J62:K62"/>
    <mergeCell ref="L62:M62"/>
    <mergeCell ref="N62:R62"/>
    <mergeCell ref="M58:N58"/>
    <mergeCell ref="D59:F59"/>
    <mergeCell ref="G59:I59"/>
    <mergeCell ref="J59:K59"/>
    <mergeCell ref="L59:M59"/>
    <mergeCell ref="N59:R59"/>
    <mergeCell ref="D60:F60"/>
    <mergeCell ref="G60:I60"/>
    <mergeCell ref="J60:K60"/>
    <mergeCell ref="L60:M60"/>
    <mergeCell ref="N60:R60"/>
    <mergeCell ref="D10:F10"/>
    <mergeCell ref="G10:I10"/>
    <mergeCell ref="J10:K10"/>
    <mergeCell ref="L10:M10"/>
    <mergeCell ref="N10:R10"/>
    <mergeCell ref="D11:F11"/>
    <mergeCell ref="G11:I11"/>
    <mergeCell ref="J11:K11"/>
    <mergeCell ref="M7:N7"/>
    <mergeCell ref="D8:F8"/>
    <mergeCell ref="G8:I8"/>
    <mergeCell ref="J8:K8"/>
    <mergeCell ref="L8:M8"/>
    <mergeCell ref="N8:R8"/>
    <mergeCell ref="D9:F9"/>
    <mergeCell ref="G9:I9"/>
    <mergeCell ref="J9:K9"/>
    <mergeCell ref="L9:M9"/>
    <mergeCell ref="N9:R9"/>
    <mergeCell ref="L11:M11"/>
    <mergeCell ref="N11:R11"/>
    <mergeCell ref="D12:F12"/>
    <mergeCell ref="G12:I12"/>
    <mergeCell ref="J12:K12"/>
    <mergeCell ref="L12:M12"/>
    <mergeCell ref="N12:R12"/>
    <mergeCell ref="D13:F13"/>
    <mergeCell ref="G13:I13"/>
    <mergeCell ref="J13:K13"/>
    <mergeCell ref="L13:M13"/>
    <mergeCell ref="N13:R13"/>
    <mergeCell ref="D14:F14"/>
    <mergeCell ref="G14:I14"/>
    <mergeCell ref="J14:K14"/>
    <mergeCell ref="L14:M14"/>
    <mergeCell ref="N14:R14"/>
    <mergeCell ref="M16:N16"/>
    <mergeCell ref="D17:F17"/>
    <mergeCell ref="G17:I17"/>
    <mergeCell ref="J17:K17"/>
    <mergeCell ref="L17:M17"/>
    <mergeCell ref="N17:R17"/>
    <mergeCell ref="D15:F15"/>
    <mergeCell ref="G15:I15"/>
    <mergeCell ref="L15:M15"/>
    <mergeCell ref="N15:R15"/>
    <mergeCell ref="D18:F18"/>
    <mergeCell ref="G18:I18"/>
    <mergeCell ref="J18:K18"/>
    <mergeCell ref="L18:M18"/>
    <mergeCell ref="N18:R18"/>
    <mergeCell ref="D19:F19"/>
    <mergeCell ref="G19:I19"/>
    <mergeCell ref="J19:K19"/>
    <mergeCell ref="L19:M19"/>
    <mergeCell ref="N19:R19"/>
    <mergeCell ref="D20:F20"/>
    <mergeCell ref="G20:I20"/>
    <mergeCell ref="J20:K20"/>
    <mergeCell ref="L20:M20"/>
    <mergeCell ref="N20:R20"/>
    <mergeCell ref="D21:F21"/>
    <mergeCell ref="G21:I21"/>
    <mergeCell ref="J21:K21"/>
    <mergeCell ref="L21:M21"/>
    <mergeCell ref="N21:R21"/>
    <mergeCell ref="O26:P26"/>
    <mergeCell ref="O27:P27"/>
    <mergeCell ref="K24:M24"/>
    <mergeCell ref="D26:H27"/>
    <mergeCell ref="O28:P28"/>
    <mergeCell ref="D28:H28"/>
    <mergeCell ref="K39:L39"/>
    <mergeCell ref="K32:L32"/>
    <mergeCell ref="K33:L33"/>
    <mergeCell ref="L26:N26"/>
    <mergeCell ref="L27:N27"/>
    <mergeCell ref="L28:N28"/>
    <mergeCell ref="I26:K26"/>
    <mergeCell ref="I27:K27"/>
    <mergeCell ref="I28:K28"/>
    <mergeCell ref="K37:L37"/>
    <mergeCell ref="J29:N29"/>
    <mergeCell ref="AU72:AV72"/>
    <mergeCell ref="AU74:AV74"/>
    <mergeCell ref="AL56:AM56"/>
    <mergeCell ref="K34:L34"/>
    <mergeCell ref="AR51:AS51"/>
    <mergeCell ref="K36:L36"/>
    <mergeCell ref="AS61:AT61"/>
    <mergeCell ref="AR65:AZ65"/>
    <mergeCell ref="AM66:AM67"/>
    <mergeCell ref="AR66:AS67"/>
    <mergeCell ref="AT66:AZ66"/>
    <mergeCell ref="AX67:AY67"/>
    <mergeCell ref="AY56:BA56"/>
    <mergeCell ref="AL58:AM58"/>
    <mergeCell ref="AO58:AP58"/>
    <mergeCell ref="AR58:AS58"/>
    <mergeCell ref="AU58:AV58"/>
    <mergeCell ref="AL59:AM59"/>
    <mergeCell ref="AO59:AP59"/>
    <mergeCell ref="AV59:AW59"/>
    <mergeCell ref="AU56:AV56"/>
    <mergeCell ref="AR56:AS56"/>
    <mergeCell ref="AO56:AP56"/>
    <mergeCell ref="AU48:AV48"/>
    <mergeCell ref="C130:G130"/>
    <mergeCell ref="H130:J130"/>
    <mergeCell ref="K130:M130"/>
    <mergeCell ref="N130:R130"/>
    <mergeCell ref="B123:C124"/>
    <mergeCell ref="D123:D124"/>
    <mergeCell ref="E123:E124"/>
    <mergeCell ref="F123:F124"/>
    <mergeCell ref="G123:G124"/>
    <mergeCell ref="I123:I124"/>
    <mergeCell ref="J123:J124"/>
    <mergeCell ref="K123:O124"/>
    <mergeCell ref="K126:L126"/>
    <mergeCell ref="C131:E131"/>
    <mergeCell ref="F131:G131"/>
    <mergeCell ref="H131:J131"/>
    <mergeCell ref="K131:M131"/>
    <mergeCell ref="N131:R131"/>
    <mergeCell ref="C132:E132"/>
    <mergeCell ref="F132:G132"/>
    <mergeCell ref="H132:J132"/>
    <mergeCell ref="K132:M132"/>
    <mergeCell ref="N132:R132"/>
    <mergeCell ref="C133:E133"/>
    <mergeCell ref="F133:G133"/>
    <mergeCell ref="H133:J133"/>
    <mergeCell ref="K133:M133"/>
    <mergeCell ref="N133:R133"/>
    <mergeCell ref="C134:E134"/>
    <mergeCell ref="F134:G134"/>
    <mergeCell ref="H134:J134"/>
    <mergeCell ref="K134:M134"/>
    <mergeCell ref="N134:R134"/>
    <mergeCell ref="F137:G137"/>
    <mergeCell ref="I137:J137"/>
    <mergeCell ref="K137:M137"/>
    <mergeCell ref="N137:R137"/>
    <mergeCell ref="C135:E135"/>
    <mergeCell ref="F135:G135"/>
    <mergeCell ref="H135:J135"/>
    <mergeCell ref="K135:M135"/>
    <mergeCell ref="N135:R135"/>
    <mergeCell ref="C136:E136"/>
    <mergeCell ref="F136:G136"/>
    <mergeCell ref="H136:J136"/>
    <mergeCell ref="K136:M136"/>
    <mergeCell ref="N136:R136"/>
    <mergeCell ref="N142:R142"/>
    <mergeCell ref="C143:E143"/>
    <mergeCell ref="F143:G143"/>
    <mergeCell ref="H143:J143"/>
    <mergeCell ref="K143:M143"/>
    <mergeCell ref="N143:R143"/>
    <mergeCell ref="E139:F139"/>
    <mergeCell ref="H139:I139"/>
    <mergeCell ref="K139:L139"/>
    <mergeCell ref="N139:O139"/>
    <mergeCell ref="C141:G141"/>
    <mergeCell ref="H141:J141"/>
    <mergeCell ref="K141:M141"/>
    <mergeCell ref="N141:R141"/>
    <mergeCell ref="N148:O148"/>
    <mergeCell ref="C157:C158"/>
    <mergeCell ref="D157:D158"/>
    <mergeCell ref="F157:H158"/>
    <mergeCell ref="I157:I158"/>
    <mergeCell ref="K157:L158"/>
    <mergeCell ref="M157:P157"/>
    <mergeCell ref="O158:P158"/>
    <mergeCell ref="C144:E144"/>
    <mergeCell ref="F144:G144"/>
    <mergeCell ref="H144:J144"/>
    <mergeCell ref="K144:M144"/>
    <mergeCell ref="N144:R144"/>
    <mergeCell ref="C145:E145"/>
    <mergeCell ref="F145:G145"/>
    <mergeCell ref="I145:J145"/>
    <mergeCell ref="K145:M145"/>
    <mergeCell ref="N145:R145"/>
    <mergeCell ref="N163:O163"/>
    <mergeCell ref="Q163:R163"/>
    <mergeCell ref="B167:G168"/>
    <mergeCell ref="Q167:S168"/>
    <mergeCell ref="H167:K168"/>
    <mergeCell ref="L167:P168"/>
    <mergeCell ref="E159:F159"/>
    <mergeCell ref="E153:F153"/>
    <mergeCell ref="H153:I153"/>
    <mergeCell ref="K153:L153"/>
    <mergeCell ref="N153:O153"/>
    <mergeCell ref="Q153:R153"/>
    <mergeCell ref="Q157:S158"/>
    <mergeCell ref="C187:C188"/>
    <mergeCell ref="D187:E187"/>
    <mergeCell ref="F187:F188"/>
    <mergeCell ref="G187:M187"/>
    <mergeCell ref="N187:N188"/>
    <mergeCell ref="P187:P188"/>
    <mergeCell ref="Q187:Q188"/>
    <mergeCell ref="N181:Q182"/>
    <mergeCell ref="D181:D182"/>
    <mergeCell ref="E181:E182"/>
    <mergeCell ref="F181:I181"/>
    <mergeCell ref="J181:J182"/>
    <mergeCell ref="L181:L182"/>
    <mergeCell ref="M181:M182"/>
    <mergeCell ref="N184:O185"/>
    <mergeCell ref="P184:P185"/>
    <mergeCell ref="Q184:Q185"/>
    <mergeCell ref="G172:G173"/>
    <mergeCell ref="H172:I172"/>
    <mergeCell ref="K172:L172"/>
    <mergeCell ref="H169:K169"/>
    <mergeCell ref="L169:P169"/>
    <mergeCell ref="P172:Q173"/>
    <mergeCell ref="Q169:S169"/>
    <mergeCell ref="I178:J178"/>
    <mergeCell ref="M178:N178"/>
    <mergeCell ref="Q178:R178"/>
    <mergeCell ref="M172:M173"/>
    <mergeCell ref="N172:O173"/>
    <mergeCell ref="R172:S173"/>
    <mergeCell ref="H173:I173"/>
    <mergeCell ref="K173:L173"/>
    <mergeCell ref="B201:B202"/>
    <mergeCell ref="C201:C202"/>
    <mergeCell ref="D201:D202"/>
    <mergeCell ref="E201:F201"/>
    <mergeCell ref="H201:I201"/>
    <mergeCell ref="O201:Q201"/>
    <mergeCell ref="R201:R202"/>
    <mergeCell ref="E202:Q202"/>
    <mergeCell ref="K201:M201"/>
    <mergeCell ref="B205:B206"/>
    <mergeCell ref="C205:C206"/>
    <mergeCell ref="D205:H205"/>
    <mergeCell ref="C209:C210"/>
    <mergeCell ref="D209:D210"/>
    <mergeCell ref="E209:F210"/>
    <mergeCell ref="G209:G210"/>
    <mergeCell ref="H209:I209"/>
    <mergeCell ref="J209:K210"/>
    <mergeCell ref="H210:I210"/>
    <mergeCell ref="I205:I206"/>
    <mergeCell ref="J205:K206"/>
    <mergeCell ref="D206:E206"/>
    <mergeCell ref="G206:H206"/>
    <mergeCell ref="N45:P45"/>
    <mergeCell ref="Q45:R45"/>
    <mergeCell ref="D241:D242"/>
    <mergeCell ref="E241:E242"/>
    <mergeCell ref="J241:J242"/>
    <mergeCell ref="E224:F224"/>
    <mergeCell ref="E223:F223"/>
    <mergeCell ref="H223:I223"/>
    <mergeCell ref="D232:D233"/>
    <mergeCell ref="E232:E233"/>
    <mergeCell ref="F232:N232"/>
    <mergeCell ref="F233:G233"/>
    <mergeCell ref="M233:N233"/>
    <mergeCell ref="E234:E235"/>
    <mergeCell ref="F234:N234"/>
    <mergeCell ref="F230:G230"/>
    <mergeCell ref="I230:J230"/>
    <mergeCell ref="L230:M230"/>
    <mergeCell ref="L209:R210"/>
    <mergeCell ref="L205:M206"/>
    <mergeCell ref="R187:R188"/>
    <mergeCell ref="D184:D185"/>
    <mergeCell ref="E184:E185"/>
    <mergeCell ref="F184:I184"/>
    <mergeCell ref="E211:F211"/>
    <mergeCell ref="E214:F214"/>
    <mergeCell ref="H214:I214"/>
    <mergeCell ref="E215:F215"/>
    <mergeCell ref="I218:J218"/>
    <mergeCell ref="L218:M218"/>
    <mergeCell ref="H50:J50"/>
    <mergeCell ref="K50:M50"/>
    <mergeCell ref="D203:E203"/>
    <mergeCell ref="F199:G199"/>
    <mergeCell ref="K199:L199"/>
    <mergeCell ref="D188:E188"/>
    <mergeCell ref="G188:M188"/>
    <mergeCell ref="J184:J185"/>
    <mergeCell ref="L184:L185"/>
    <mergeCell ref="M184:M185"/>
    <mergeCell ref="E148:F148"/>
    <mergeCell ref="H148:I148"/>
    <mergeCell ref="K148:L148"/>
    <mergeCell ref="C142:E142"/>
    <mergeCell ref="F142:G142"/>
    <mergeCell ref="H142:J142"/>
    <mergeCell ref="K142:M142"/>
    <mergeCell ref="C137:E137"/>
    <mergeCell ref="S187:S188"/>
    <mergeCell ref="S181:S182"/>
    <mergeCell ref="H42:J42"/>
    <mergeCell ref="K42:M42"/>
    <mergeCell ref="N42:P42"/>
    <mergeCell ref="Q42:R42"/>
    <mergeCell ref="H43:J43"/>
    <mergeCell ref="K43:M43"/>
    <mergeCell ref="Q50:R50"/>
    <mergeCell ref="H49:J49"/>
    <mergeCell ref="K49:M49"/>
    <mergeCell ref="N49:P49"/>
    <mergeCell ref="Q49:R49"/>
    <mergeCell ref="N43:P43"/>
    <mergeCell ref="Q43:R43"/>
    <mergeCell ref="H48:J48"/>
    <mergeCell ref="K48:M48"/>
    <mergeCell ref="N48:P48"/>
    <mergeCell ref="Q48:R48"/>
    <mergeCell ref="H44:J44"/>
    <mergeCell ref="K44:M44"/>
    <mergeCell ref="N44:P44"/>
    <mergeCell ref="Q44:R44"/>
    <mergeCell ref="H47:J47"/>
    <mergeCell ref="P234:Q235"/>
    <mergeCell ref="R234:R235"/>
    <mergeCell ref="Q40:R40"/>
    <mergeCell ref="H41:J41"/>
    <mergeCell ref="K41:M41"/>
    <mergeCell ref="N41:P41"/>
    <mergeCell ref="Q41:R41"/>
    <mergeCell ref="M248:N248"/>
    <mergeCell ref="O248:P248"/>
    <mergeCell ref="H40:J40"/>
    <mergeCell ref="K40:M40"/>
    <mergeCell ref="N241:O241"/>
    <mergeCell ref="Q46:R46"/>
    <mergeCell ref="K47:M47"/>
    <mergeCell ref="N47:P47"/>
    <mergeCell ref="Q47:R47"/>
    <mergeCell ref="H45:J45"/>
    <mergeCell ref="K45:M45"/>
    <mergeCell ref="H46:J46"/>
    <mergeCell ref="K46:M46"/>
    <mergeCell ref="N46:P46"/>
    <mergeCell ref="N50:P50"/>
    <mergeCell ref="K223:L223"/>
    <mergeCell ref="P199:R199"/>
    <mergeCell ref="F249:G249"/>
    <mergeCell ref="N40:P40"/>
    <mergeCell ref="F235:G235"/>
    <mergeCell ref="M235:N235"/>
    <mergeCell ref="F228:G228"/>
    <mergeCell ref="I228:J228"/>
    <mergeCell ref="L228:M228"/>
    <mergeCell ref="O228:P228"/>
    <mergeCell ref="E219:F219"/>
    <mergeCell ref="E222:F222"/>
    <mergeCell ref="H222:I222"/>
    <mergeCell ref="K222:L222"/>
    <mergeCell ref="O234:O235"/>
    <mergeCell ref="F198:G198"/>
    <mergeCell ref="L198:M198"/>
    <mergeCell ref="B169:G169"/>
    <mergeCell ref="E164:F164"/>
    <mergeCell ref="E154:F154"/>
    <mergeCell ref="E163:F163"/>
    <mergeCell ref="H163:I163"/>
    <mergeCell ref="K163:L163"/>
    <mergeCell ref="F243:G243"/>
    <mergeCell ref="F244:G244"/>
    <mergeCell ref="F248:G248"/>
  </mergeCells>
  <phoneticPr fontId="25"/>
  <dataValidations count="9">
    <dataValidation type="decimal" allowBlank="1" showInputMessage="1" showErrorMessage="1" error="1以下で入力してください。" sqref="K24:M24">
      <formula1>0.01</formula1>
      <formula2>1</formula2>
    </dataValidation>
    <dataValidation type="list" allowBlank="1" showInputMessage="1" showErrorMessage="1" sqref="D28:H28">
      <formula1>"調整池,地下貯留施設"</formula1>
    </dataValidation>
    <dataValidation allowBlank="1" showInputMessage="1" showErrorMessage="1" sqref="AR65 BA65:BB65 O28"/>
    <dataValidation allowBlank="1" showInputMessage="1" showErrorMessage="1" prompt="ポンプ排水や排水系統が変更される場合は許容量を要検討" sqref="K33:L33"/>
    <dataValidation allowBlank="1" showInputMessage="1" showErrorMessage="1" prompt="各戸の駐車場を集水する場合は「駐車場〇m2×〇宅地」などと記載すること。" sqref="N9:R14"/>
    <dataValidation allowBlank="1" showInputMessage="1" showErrorMessage="1" prompt="開発区域外からの流入がある場合（区域外ののり面などにより流入する場合等）は集水面積に加算すること。" sqref="G9:I14"/>
    <dataValidation type="list" allowBlank="1" showInputMessage="1" showErrorMessage="1" sqref="D9:F14 D18:F20">
      <formula1>$AL$12:$AL$19</formula1>
    </dataValidation>
    <dataValidation showInputMessage="1" showErrorMessage="1" sqref="B169"/>
    <dataValidation type="list" allowBlank="1" showInputMessage="1" showErrorMessage="1" sqref="J29:N29">
      <formula1>"市道路排水施設,国県私が管理する排水施設"</formula1>
    </dataValidation>
  </dataValidations>
  <pageMargins left="0.74803149606299213" right="0.74803149606299213" top="0.59055118110236227" bottom="0.59055118110236227" header="0.39370078740157483" footer="0.27559055118110237"/>
  <pageSetup paperSize="9" scale="97" orientation="portrait" r:id="rId1"/>
  <headerFooter>
    <oddHeader>&amp;R&amp;"BIZ UD明朝 Medium,標準"提出先　土木建設課</oddHeader>
    <oddFooter>&amp;L&amp;"BIZ UD明朝 Medium,標準"&amp;12&amp;A&amp;C&amp;"BIZ UD明朝 Medium,標準"&amp;12&amp;P / &amp;N ページ&amp;R雨水流出抑制計算ver3.1
&amp;D</oddFooter>
  </headerFooter>
  <rowBreaks count="4" manualBreakCount="4">
    <brk id="52" max="18" man="1"/>
    <brk id="103" max="18" man="1"/>
    <brk id="160" max="18" man="1"/>
    <brk id="216" max="18" man="1"/>
  </rowBreaks>
  <ignoredErrors>
    <ignoredError sqref="D60:R65" unlockedFormula="1"/>
    <ignoredError sqref="B41:R42 C95:R101 C94:J94 L94:R94 B44:R50 B43:J43 L43:R43" evalError="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59999389629810485"/>
  </sheetPr>
  <dimension ref="A1:BK244"/>
  <sheetViews>
    <sheetView showZeros="0" zoomScale="115" zoomScaleNormal="115" zoomScaleSheetLayoutView="100" workbookViewId="0">
      <pane ySplit="1" topLeftCell="A2" activePane="bottomLeft" state="frozen"/>
      <selection pane="bottomLeft" activeCell="H6" sqref="H6:R6"/>
    </sheetView>
  </sheetViews>
  <sheetFormatPr defaultColWidth="4.625" defaultRowHeight="13.5" customHeight="1"/>
  <cols>
    <col min="1" max="20" width="4.625" style="1" customWidth="1"/>
    <col min="21" max="35" width="4.625" style="1"/>
    <col min="36" max="36" width="4.625" style="1" customWidth="1"/>
    <col min="37" max="63" width="4.625" style="1" hidden="1" customWidth="1"/>
    <col min="64" max="16384" width="4.625" style="1"/>
  </cols>
  <sheetData>
    <row r="1" spans="1:61" ht="13.5" customHeight="1" thickBot="1">
      <c r="A1" s="328" t="s">
        <v>570</v>
      </c>
      <c r="B1" s="327"/>
      <c r="C1" s="327"/>
      <c r="D1" s="327"/>
      <c r="E1" s="327"/>
      <c r="F1" s="327"/>
      <c r="G1" s="327"/>
      <c r="H1" s="327"/>
      <c r="I1" s="327"/>
      <c r="J1" s="327"/>
      <c r="K1" s="327"/>
      <c r="L1" s="327"/>
      <c r="M1" s="327"/>
      <c r="N1" s="327"/>
      <c r="O1" s="327"/>
      <c r="P1" s="327"/>
      <c r="Q1" s="327"/>
      <c r="R1" s="327"/>
      <c r="S1" s="327"/>
      <c r="T1" s="182" t="s">
        <v>308</v>
      </c>
    </row>
    <row r="2" spans="1:61" ht="13.5" customHeight="1">
      <c r="A2" s="141" t="s">
        <v>634</v>
      </c>
      <c r="B2" s="142"/>
      <c r="C2" s="142"/>
      <c r="D2" s="142"/>
      <c r="E2" s="142"/>
      <c r="F2" s="142"/>
      <c r="G2" s="142"/>
      <c r="H2" s="142"/>
      <c r="I2" s="142"/>
      <c r="J2" s="142"/>
      <c r="K2" s="142"/>
      <c r="L2" s="142" t="s">
        <v>15</v>
      </c>
      <c r="M2" s="142"/>
      <c r="N2" s="142"/>
      <c r="O2" s="142"/>
      <c r="P2" s="142"/>
      <c r="Q2" s="142"/>
      <c r="R2" s="142"/>
      <c r="S2" s="143"/>
      <c r="U2" s="182"/>
      <c r="AK2" s="323" t="s">
        <v>563</v>
      </c>
      <c r="AL2" s="323"/>
      <c r="AM2" s="323"/>
      <c r="AN2" s="323"/>
      <c r="AO2" s="323"/>
      <c r="AP2" s="324"/>
      <c r="AQ2" s="325"/>
      <c r="AR2" s="325"/>
      <c r="AS2" s="325"/>
      <c r="AT2" s="325"/>
      <c r="AU2" s="325"/>
      <c r="AV2" s="325"/>
      <c r="AW2" s="325"/>
      <c r="AX2" s="325"/>
      <c r="AY2" s="325"/>
      <c r="AZ2" s="325"/>
      <c r="BA2" s="326"/>
      <c r="BB2" s="326"/>
      <c r="BC2" s="326"/>
      <c r="BD2" s="326"/>
      <c r="BE2" s="326"/>
      <c r="BF2" s="326"/>
      <c r="BG2" s="326"/>
      <c r="BH2" s="326"/>
      <c r="BI2" s="326"/>
    </row>
    <row r="3" spans="1:61" ht="13.5" customHeight="1">
      <c r="A3" s="144"/>
      <c r="B3" s="165"/>
      <c r="C3" s="165"/>
      <c r="D3" s="165"/>
      <c r="E3" s="165"/>
      <c r="F3" s="165"/>
      <c r="G3" s="165"/>
      <c r="H3" s="165"/>
      <c r="I3" s="165"/>
      <c r="J3" s="165"/>
      <c r="K3" s="165"/>
      <c r="L3" s="145"/>
      <c r="M3" s="165" t="s">
        <v>17</v>
      </c>
      <c r="N3" s="165"/>
      <c r="O3" s="165"/>
      <c r="P3" s="165"/>
      <c r="Q3" s="165"/>
      <c r="R3" s="165"/>
      <c r="S3" s="146"/>
      <c r="T3" s="182"/>
      <c r="U3" s="182"/>
      <c r="AK3" s="325"/>
      <c r="AL3" s="325"/>
      <c r="AM3" s="325"/>
      <c r="AN3" s="325"/>
      <c r="AO3" s="325"/>
      <c r="AP3" s="325"/>
      <c r="AQ3" s="325"/>
      <c r="AR3" s="325"/>
      <c r="AS3" s="325"/>
      <c r="AT3" s="325"/>
      <c r="AU3" s="325"/>
      <c r="AV3" s="325"/>
      <c r="AW3" s="325"/>
      <c r="AX3" s="325"/>
      <c r="AY3" s="325"/>
      <c r="AZ3" s="325"/>
      <c r="BA3" s="326"/>
      <c r="BB3" s="326"/>
      <c r="BC3" s="326"/>
      <c r="BD3" s="326"/>
      <c r="BE3" s="326"/>
      <c r="BF3" s="326"/>
      <c r="BG3" s="326"/>
      <c r="BH3" s="326"/>
      <c r="BI3" s="326"/>
    </row>
    <row r="4" spans="1:61" ht="13.5" customHeight="1">
      <c r="A4" s="144" t="s">
        <v>16</v>
      </c>
      <c r="B4" s="165"/>
      <c r="C4" s="165"/>
      <c r="D4" s="165"/>
      <c r="E4" s="165"/>
      <c r="F4" s="165"/>
      <c r="G4" s="165"/>
      <c r="H4" s="165"/>
      <c r="I4" s="165"/>
      <c r="J4" s="165"/>
      <c r="K4" s="165"/>
      <c r="L4" s="148"/>
      <c r="M4" s="165" t="s">
        <v>19</v>
      </c>
      <c r="N4" s="165"/>
      <c r="O4" s="165"/>
      <c r="P4" s="165"/>
      <c r="Q4" s="165"/>
      <c r="R4" s="165"/>
      <c r="S4" s="146"/>
      <c r="T4" s="182"/>
      <c r="U4" s="182"/>
      <c r="AK4" s="182"/>
      <c r="AL4" s="182"/>
      <c r="AM4" s="182"/>
      <c r="AN4" s="182"/>
    </row>
    <row r="5" spans="1:61" ht="13.5" customHeight="1">
      <c r="A5" s="147"/>
      <c r="B5" s="165">
        <v>1</v>
      </c>
      <c r="C5" s="165" t="s">
        <v>18</v>
      </c>
      <c r="D5" s="165"/>
      <c r="E5" s="165"/>
      <c r="F5" s="165"/>
      <c r="G5" s="165"/>
      <c r="H5" s="165"/>
      <c r="I5" s="165"/>
      <c r="J5" s="165"/>
      <c r="K5" s="165"/>
      <c r="L5" s="165"/>
      <c r="M5" s="165"/>
      <c r="N5" s="165"/>
      <c r="O5" s="165"/>
      <c r="P5" s="165"/>
      <c r="Q5" s="165"/>
      <c r="R5" s="165"/>
      <c r="S5" s="146"/>
      <c r="T5" s="182"/>
      <c r="U5" s="182"/>
      <c r="AK5" s="182"/>
      <c r="AL5" s="182"/>
      <c r="AM5" s="182"/>
      <c r="AN5" s="182"/>
    </row>
    <row r="6" spans="1:61" ht="13.5" customHeight="1">
      <c r="A6" s="147"/>
      <c r="B6" s="165"/>
      <c r="C6" s="373" t="s">
        <v>760</v>
      </c>
      <c r="D6" s="165" t="s">
        <v>762</v>
      </c>
      <c r="E6" s="165"/>
      <c r="F6" s="151"/>
      <c r="G6" s="151"/>
      <c r="H6" s="648"/>
      <c r="I6" s="648"/>
      <c r="J6" s="648"/>
      <c r="K6" s="648"/>
      <c r="L6" s="648"/>
      <c r="M6" s="648"/>
      <c r="N6" s="648"/>
      <c r="O6" s="648"/>
      <c r="P6" s="648"/>
      <c r="Q6" s="648"/>
      <c r="R6" s="648"/>
      <c r="S6" s="146"/>
      <c r="T6" s="1" t="s">
        <v>443</v>
      </c>
      <c r="U6" s="5" t="s">
        <v>761</v>
      </c>
      <c r="AK6" s="182"/>
      <c r="AL6" s="182"/>
      <c r="AM6" s="182"/>
    </row>
    <row r="7" spans="1:61" ht="13.5" customHeight="1">
      <c r="A7" s="147"/>
      <c r="B7" s="165"/>
      <c r="C7" s="162" t="s">
        <v>444</v>
      </c>
      <c r="D7" s="165" t="s">
        <v>20</v>
      </c>
      <c r="E7" s="165"/>
      <c r="F7" s="165"/>
      <c r="G7" s="165"/>
      <c r="H7" s="165"/>
      <c r="I7" s="165"/>
      <c r="J7" s="165"/>
      <c r="K7" s="165"/>
      <c r="L7" s="151" t="s">
        <v>21</v>
      </c>
      <c r="M7" s="664">
        <f>IF($G$15=0,0,IF(ROUNDUP(L15/G15,2)&gt;0.9,0.9,ROUNDUP(L15/G15,2)))</f>
        <v>0</v>
      </c>
      <c r="N7" s="664"/>
      <c r="O7" s="165" t="s">
        <v>22</v>
      </c>
      <c r="P7" s="165"/>
      <c r="Q7" s="165"/>
      <c r="R7" s="165"/>
      <c r="S7" s="146"/>
      <c r="T7" s="1" t="s">
        <v>445</v>
      </c>
      <c r="U7" s="225" t="s">
        <v>368</v>
      </c>
      <c r="AL7" s="1" t="s">
        <v>617</v>
      </c>
      <c r="AP7" s="1" t="s">
        <v>618</v>
      </c>
      <c r="AZ7" s="1" t="str">
        <f>IF(COUNTIF($D$31,"*大型貯留槽*"),"大型貯留槽","不採用")</f>
        <v>不採用</v>
      </c>
      <c r="BC7" s="26" t="s">
        <v>292</v>
      </c>
      <c r="BD7" s="26" t="s">
        <v>293</v>
      </c>
      <c r="BE7" s="26" t="s">
        <v>294</v>
      </c>
    </row>
    <row r="8" spans="1:61" ht="13.5" customHeight="1">
      <c r="A8" s="147"/>
      <c r="B8" s="165"/>
      <c r="C8" s="162"/>
      <c r="D8" s="665" t="s">
        <v>23</v>
      </c>
      <c r="E8" s="666"/>
      <c r="F8" s="667"/>
      <c r="G8" s="665" t="s">
        <v>24</v>
      </c>
      <c r="H8" s="666"/>
      <c r="I8" s="667"/>
      <c r="J8" s="665" t="s">
        <v>25</v>
      </c>
      <c r="K8" s="666"/>
      <c r="L8" s="665" t="s">
        <v>26</v>
      </c>
      <c r="M8" s="667"/>
      <c r="N8" s="665" t="s">
        <v>27</v>
      </c>
      <c r="O8" s="666"/>
      <c r="P8" s="666"/>
      <c r="Q8" s="666"/>
      <c r="R8" s="667"/>
      <c r="S8" s="146"/>
      <c r="T8" s="225"/>
      <c r="U8" s="225" t="s">
        <v>320</v>
      </c>
      <c r="AK8" s="107"/>
      <c r="AL8" s="11" t="s">
        <v>227</v>
      </c>
      <c r="AM8" s="11" t="s">
        <v>108</v>
      </c>
      <c r="AN8" s="300"/>
      <c r="AP8" s="11" t="s">
        <v>227</v>
      </c>
      <c r="AQ8" s="11" t="s">
        <v>108</v>
      </c>
      <c r="AR8" s="20"/>
      <c r="AZ8" s="311" t="s">
        <v>295</v>
      </c>
      <c r="BA8" s="311" t="s">
        <v>296</v>
      </c>
      <c r="BB8" s="23"/>
      <c r="BC8" s="1">
        <v>0</v>
      </c>
      <c r="BD8" s="1">
        <v>0</v>
      </c>
      <c r="BE8" s="1">
        <v>0</v>
      </c>
    </row>
    <row r="9" spans="1:61" ht="13.5" customHeight="1">
      <c r="A9" s="147"/>
      <c r="B9" s="165"/>
      <c r="C9" s="162"/>
      <c r="D9" s="624"/>
      <c r="E9" s="625"/>
      <c r="F9" s="626"/>
      <c r="G9" s="627"/>
      <c r="H9" s="628"/>
      <c r="I9" s="629"/>
      <c r="J9" s="630" t="str">
        <f>IF(D9="","",VLOOKUP(D9,$AL$9:$AN$17,2,FALSE))</f>
        <v/>
      </c>
      <c r="K9" s="631"/>
      <c r="L9" s="668" t="str">
        <f t="shared" ref="L9:L14" si="0">IF(D9="","",ROUND(G9*J9,2))</f>
        <v/>
      </c>
      <c r="M9" s="669"/>
      <c r="N9" s="634"/>
      <c r="O9" s="635"/>
      <c r="P9" s="635"/>
      <c r="Q9" s="635"/>
      <c r="R9" s="636"/>
      <c r="S9" s="146"/>
      <c r="T9" s="225"/>
      <c r="U9" s="114" t="s">
        <v>321</v>
      </c>
      <c r="AL9" s="11" t="s">
        <v>226</v>
      </c>
      <c r="AM9" s="301">
        <v>0.85</v>
      </c>
      <c r="AN9" s="302">
        <v>1</v>
      </c>
      <c r="AP9" s="11" t="str">
        <f>AL9</f>
        <v>道路</v>
      </c>
      <c r="AQ9" s="301">
        <f>IF(AM9-0.2&gt;0,AM9-0.2,0)</f>
        <v>0.64999999999999991</v>
      </c>
      <c r="AR9" s="301">
        <f>IF(AN9-0.2&gt;0,AN9-0.2,0)</f>
        <v>0.8</v>
      </c>
      <c r="AZ9" s="255">
        <f>VLOOKUP(ROUNDUP(AZ10,-1),$BC$8:$BE$13,2,1)</f>
        <v>0</v>
      </c>
      <c r="BA9" s="255" t="b">
        <f>IF(COUNTIF(AZ7,"*大型貯留槽*"),VLOOKUP(AZ9,AR23:AY25,8,FALSE))</f>
        <v>0</v>
      </c>
      <c r="BB9" s="256"/>
      <c r="BC9" s="1">
        <v>10</v>
      </c>
      <c r="BD9" s="1">
        <v>5</v>
      </c>
      <c r="BE9" s="1">
        <v>10</v>
      </c>
    </row>
    <row r="10" spans="1:61" ht="13.5" customHeight="1">
      <c r="A10" s="147"/>
      <c r="B10" s="165"/>
      <c r="C10" s="162"/>
      <c r="D10" s="637"/>
      <c r="E10" s="638"/>
      <c r="F10" s="639"/>
      <c r="G10" s="640"/>
      <c r="H10" s="641"/>
      <c r="I10" s="642"/>
      <c r="J10" s="643" t="str">
        <f t="shared" ref="J10:J14" si="1">IF(D10="","",VLOOKUP(D10,$AL$9:$AN$17,2,FALSE))</f>
        <v/>
      </c>
      <c r="K10" s="644"/>
      <c r="L10" s="650" t="str">
        <f t="shared" si="0"/>
        <v/>
      </c>
      <c r="M10" s="651"/>
      <c r="N10" s="647"/>
      <c r="O10" s="648"/>
      <c r="P10" s="648"/>
      <c r="Q10" s="648"/>
      <c r="R10" s="649"/>
      <c r="S10" s="146"/>
      <c r="T10" s="114"/>
      <c r="U10" s="226" t="s">
        <v>457</v>
      </c>
      <c r="AL10" s="11" t="s">
        <v>315</v>
      </c>
      <c r="AM10" s="301">
        <v>0.8</v>
      </c>
      <c r="AN10" s="302">
        <v>1</v>
      </c>
      <c r="AP10" s="11" t="str">
        <f t="shared" ref="AP10:AP16" si="2">AL10</f>
        <v>宅地駐車場</v>
      </c>
      <c r="AQ10" s="301">
        <f t="shared" ref="AQ10:AR16" si="3">IF(AM10-0.2&gt;0,AM10-0.2,0)</f>
        <v>0.60000000000000009</v>
      </c>
      <c r="AR10" s="301">
        <f t="shared" si="3"/>
        <v>0.8</v>
      </c>
      <c r="AZ10" s="24">
        <f>$K$31</f>
        <v>0</v>
      </c>
      <c r="BA10" s="24" t="e">
        <f>ROUND((BA11-BA9)/(AZ11-AZ9)*(AZ10-AZ9)+BA9,3)</f>
        <v>#DIV/0!</v>
      </c>
      <c r="BB10" s="25"/>
      <c r="BC10" s="1">
        <v>20</v>
      </c>
      <c r="BD10" s="1">
        <v>10</v>
      </c>
      <c r="BE10" s="1">
        <v>20</v>
      </c>
    </row>
    <row r="11" spans="1:61" ht="13.5" customHeight="1">
      <c r="A11" s="147"/>
      <c r="B11" s="165"/>
      <c r="C11" s="162"/>
      <c r="D11" s="637"/>
      <c r="E11" s="638"/>
      <c r="F11" s="639"/>
      <c r="G11" s="640"/>
      <c r="H11" s="641"/>
      <c r="I11" s="642"/>
      <c r="J11" s="643" t="str">
        <f t="shared" si="1"/>
        <v/>
      </c>
      <c r="K11" s="644"/>
      <c r="L11" s="650" t="str">
        <f t="shared" si="0"/>
        <v/>
      </c>
      <c r="M11" s="651"/>
      <c r="N11" s="647"/>
      <c r="O11" s="648"/>
      <c r="P11" s="648"/>
      <c r="Q11" s="648"/>
      <c r="R11" s="649"/>
      <c r="S11" s="146"/>
      <c r="T11" s="226"/>
      <c r="U11" s="225" t="s">
        <v>440</v>
      </c>
      <c r="AL11" s="11" t="s">
        <v>28</v>
      </c>
      <c r="AM11" s="301">
        <v>0.9</v>
      </c>
      <c r="AN11" s="302">
        <v>1</v>
      </c>
      <c r="AP11" s="11" t="str">
        <f t="shared" si="2"/>
        <v>屋根</v>
      </c>
      <c r="AQ11" s="301">
        <f t="shared" si="3"/>
        <v>0.7</v>
      </c>
      <c r="AR11" s="301">
        <f t="shared" si="3"/>
        <v>0.8</v>
      </c>
      <c r="AZ11" s="24">
        <f>VLOOKUP(ROUNDUP(AZ10,-1),$BC$8:$BE$13,3,1)</f>
        <v>0</v>
      </c>
      <c r="BA11" s="24" t="b">
        <f>IF(COUNTIF(AZ7,"*大型貯留槽*"),VLOOKUP(AZ11,AR23:AY25,8,FALSE))</f>
        <v>0</v>
      </c>
      <c r="BB11" s="25"/>
      <c r="BC11" s="1">
        <v>30</v>
      </c>
      <c r="BD11" s="1">
        <v>20</v>
      </c>
      <c r="BE11" s="1">
        <v>30</v>
      </c>
    </row>
    <row r="12" spans="1:61" ht="13.5" customHeight="1">
      <c r="A12" s="147"/>
      <c r="B12" s="165"/>
      <c r="C12" s="162"/>
      <c r="D12" s="637"/>
      <c r="E12" s="638"/>
      <c r="F12" s="639"/>
      <c r="G12" s="640"/>
      <c r="H12" s="641"/>
      <c r="I12" s="642"/>
      <c r="J12" s="643" t="str">
        <f t="shared" si="1"/>
        <v/>
      </c>
      <c r="K12" s="644"/>
      <c r="L12" s="650" t="str">
        <f t="shared" si="0"/>
        <v/>
      </c>
      <c r="M12" s="651"/>
      <c r="N12" s="647"/>
      <c r="O12" s="662"/>
      <c r="P12" s="662"/>
      <c r="Q12" s="662"/>
      <c r="R12" s="663"/>
      <c r="S12" s="146"/>
      <c r="T12" s="225"/>
      <c r="U12" s="225" t="s">
        <v>322</v>
      </c>
      <c r="AL12" s="11" t="s">
        <v>29</v>
      </c>
      <c r="AM12" s="301">
        <v>0.8</v>
      </c>
      <c r="AN12" s="302">
        <v>1</v>
      </c>
      <c r="AP12" s="11" t="str">
        <f t="shared" si="2"/>
        <v>その他の不透面</v>
      </c>
      <c r="AQ12" s="301">
        <f t="shared" si="3"/>
        <v>0.60000000000000009</v>
      </c>
      <c r="AR12" s="301">
        <f t="shared" si="3"/>
        <v>0.8</v>
      </c>
      <c r="BC12" s="1">
        <v>40</v>
      </c>
      <c r="BD12" s="1">
        <v>30</v>
      </c>
      <c r="BE12" s="1">
        <v>40</v>
      </c>
    </row>
    <row r="13" spans="1:61" ht="13.5" customHeight="1">
      <c r="A13" s="147"/>
      <c r="B13" s="165"/>
      <c r="C13" s="162"/>
      <c r="D13" s="637"/>
      <c r="E13" s="638"/>
      <c r="F13" s="639"/>
      <c r="G13" s="640"/>
      <c r="H13" s="641"/>
      <c r="I13" s="642"/>
      <c r="J13" s="643" t="str">
        <f t="shared" si="1"/>
        <v/>
      </c>
      <c r="K13" s="644"/>
      <c r="L13" s="650" t="str">
        <f t="shared" si="0"/>
        <v/>
      </c>
      <c r="M13" s="651"/>
      <c r="N13" s="661"/>
      <c r="O13" s="662"/>
      <c r="P13" s="662"/>
      <c r="Q13" s="662"/>
      <c r="R13" s="663"/>
      <c r="S13" s="146"/>
      <c r="T13" s="225"/>
      <c r="U13" s="225" t="s">
        <v>323</v>
      </c>
      <c r="AL13" s="11" t="s">
        <v>255</v>
      </c>
      <c r="AM13" s="301">
        <v>1</v>
      </c>
      <c r="AN13" s="302">
        <v>1</v>
      </c>
      <c r="AP13" s="11" t="str">
        <f t="shared" si="2"/>
        <v>水面</v>
      </c>
      <c r="AQ13" s="301">
        <f t="shared" si="3"/>
        <v>0.8</v>
      </c>
      <c r="AR13" s="301">
        <f t="shared" si="3"/>
        <v>0.8</v>
      </c>
      <c r="AZ13" s="255">
        <f>VLOOKUP(ROUNDUP(AZ14,-1),$BC$8:$BE$13,2,1)</f>
        <v>0</v>
      </c>
      <c r="BA13" s="255" t="b">
        <f>IF(COUNTIF(AZ7,"*大型貯留槽*"),VLOOKUP(AZ13,AR26:AY28,8,FALSE))</f>
        <v>0</v>
      </c>
      <c r="BC13" s="1">
        <v>50</v>
      </c>
      <c r="BD13" s="1">
        <v>40</v>
      </c>
      <c r="BE13" s="1">
        <v>50</v>
      </c>
    </row>
    <row r="14" spans="1:61" ht="13.5" customHeight="1">
      <c r="A14" s="147"/>
      <c r="B14" s="165"/>
      <c r="C14" s="162"/>
      <c r="D14" s="637"/>
      <c r="E14" s="638"/>
      <c r="F14" s="639"/>
      <c r="G14" s="640"/>
      <c r="H14" s="641"/>
      <c r="I14" s="642"/>
      <c r="J14" s="643" t="str">
        <f t="shared" si="1"/>
        <v/>
      </c>
      <c r="K14" s="644"/>
      <c r="L14" s="650" t="str">
        <f t="shared" si="0"/>
        <v/>
      </c>
      <c r="M14" s="651"/>
      <c r="N14" s="647"/>
      <c r="O14" s="648"/>
      <c r="P14" s="648"/>
      <c r="Q14" s="648"/>
      <c r="R14" s="649"/>
      <c r="S14" s="146"/>
      <c r="T14" s="225"/>
      <c r="U14" s="225" t="s">
        <v>493</v>
      </c>
      <c r="AL14" s="11" t="s">
        <v>216</v>
      </c>
      <c r="AM14" s="301">
        <v>0.2</v>
      </c>
      <c r="AN14" s="302">
        <v>0.6</v>
      </c>
      <c r="AP14" s="11" t="str">
        <f t="shared" si="2"/>
        <v>間地</v>
      </c>
      <c r="AQ14" s="301">
        <f t="shared" si="3"/>
        <v>0</v>
      </c>
      <c r="AR14" s="301">
        <f t="shared" si="3"/>
        <v>0.39999999999999997</v>
      </c>
      <c r="AZ14" s="24">
        <f>$K$31</f>
        <v>0</v>
      </c>
      <c r="BA14" s="24" t="e">
        <f>ROUND((BA15-BA13)/(AZ15-AZ13)*(AZ14-AZ13)+BA13,3)</f>
        <v>#DIV/0!</v>
      </c>
    </row>
    <row r="15" spans="1:61" ht="13.5" customHeight="1">
      <c r="A15" s="147"/>
      <c r="B15" s="165"/>
      <c r="C15" s="162"/>
      <c r="D15" s="613" t="s">
        <v>30</v>
      </c>
      <c r="E15" s="614"/>
      <c r="F15" s="615"/>
      <c r="G15" s="616">
        <f>ROUND(SUM(G9:I14),1)</f>
        <v>0</v>
      </c>
      <c r="H15" s="617"/>
      <c r="I15" s="617"/>
      <c r="J15" s="174"/>
      <c r="K15" s="135"/>
      <c r="L15" s="656">
        <f>SUM(L9:M14)</f>
        <v>0</v>
      </c>
      <c r="M15" s="657"/>
      <c r="N15" s="658"/>
      <c r="O15" s="659"/>
      <c r="P15" s="659"/>
      <c r="Q15" s="659"/>
      <c r="R15" s="660"/>
      <c r="S15" s="146"/>
      <c r="AL15" s="11" t="s">
        <v>263</v>
      </c>
      <c r="AM15" s="301">
        <v>0.15</v>
      </c>
      <c r="AN15" s="302">
        <v>0.6</v>
      </c>
      <c r="AP15" s="11" t="str">
        <f t="shared" si="2"/>
        <v>公園（緑地）</v>
      </c>
      <c r="AQ15" s="301">
        <f t="shared" si="3"/>
        <v>0</v>
      </c>
      <c r="AR15" s="301">
        <f t="shared" si="3"/>
        <v>0.39999999999999997</v>
      </c>
      <c r="AZ15" s="24">
        <f>VLOOKUP(ROUNDUP(AZ14,-1),$BC$8:$BE$13,3,1)</f>
        <v>0</v>
      </c>
      <c r="BA15" s="24" t="b">
        <f>IF(COUNTIF(AZ7,"*大型貯留槽*"),VLOOKUP(AZ15,AR26:AY28,8,FALSE))</f>
        <v>0</v>
      </c>
    </row>
    <row r="16" spans="1:61" ht="13.5" customHeight="1">
      <c r="A16" s="147"/>
      <c r="B16" s="165"/>
      <c r="C16" s="162" t="s">
        <v>355</v>
      </c>
      <c r="D16" s="165" t="s">
        <v>31</v>
      </c>
      <c r="E16" s="165"/>
      <c r="F16" s="165"/>
      <c r="G16" s="165"/>
      <c r="H16" s="165"/>
      <c r="I16" s="165"/>
      <c r="J16" s="165"/>
      <c r="K16" s="165"/>
      <c r="L16" s="151" t="s">
        <v>21</v>
      </c>
      <c r="M16" s="652">
        <f>IF(G21&gt;0,ROUNDUP(L21/G21,2),0)</f>
        <v>0</v>
      </c>
      <c r="N16" s="652"/>
      <c r="O16" s="165" t="s">
        <v>22</v>
      </c>
      <c r="P16" s="151"/>
      <c r="Q16" s="165"/>
      <c r="R16" s="165"/>
      <c r="S16" s="146"/>
      <c r="T16" s="1" t="s">
        <v>361</v>
      </c>
      <c r="U16" s="1" t="s">
        <v>367</v>
      </c>
      <c r="AL16" s="20" t="s">
        <v>512</v>
      </c>
      <c r="AM16" s="302">
        <v>0.3</v>
      </c>
      <c r="AN16" s="302">
        <v>0.6</v>
      </c>
      <c r="AP16" s="11" t="str">
        <f t="shared" si="2"/>
        <v>勾配の緩い山地</v>
      </c>
      <c r="AQ16" s="301">
        <f t="shared" si="3"/>
        <v>9.9999999999999978E-2</v>
      </c>
      <c r="AR16" s="301">
        <f t="shared" si="3"/>
        <v>0.39999999999999997</v>
      </c>
    </row>
    <row r="17" spans="1:51" ht="13.5" customHeight="1">
      <c r="A17" s="147"/>
      <c r="B17" s="165"/>
      <c r="C17" s="165"/>
      <c r="D17" s="621" t="s">
        <v>23</v>
      </c>
      <c r="E17" s="622"/>
      <c r="F17" s="623"/>
      <c r="G17" s="653" t="s">
        <v>32</v>
      </c>
      <c r="H17" s="654"/>
      <c r="I17" s="655"/>
      <c r="J17" s="621" t="s">
        <v>25</v>
      </c>
      <c r="K17" s="623"/>
      <c r="L17" s="621" t="s">
        <v>26</v>
      </c>
      <c r="M17" s="623"/>
      <c r="N17" s="621" t="s">
        <v>27</v>
      </c>
      <c r="O17" s="622"/>
      <c r="P17" s="622"/>
      <c r="Q17" s="622"/>
      <c r="R17" s="623"/>
      <c r="S17" s="146"/>
      <c r="T17" s="225"/>
      <c r="U17" s="225" t="s">
        <v>324</v>
      </c>
      <c r="AL17" s="20" t="s">
        <v>513</v>
      </c>
      <c r="AM17" s="302">
        <v>0.5</v>
      </c>
      <c r="AN17" s="302">
        <v>0.6</v>
      </c>
      <c r="AP17" s="11" t="str">
        <f t="shared" ref="AP17" si="4">AL17</f>
        <v>勾配の急な山地</v>
      </c>
      <c r="AQ17" s="301">
        <f t="shared" ref="AQ17" si="5">IF(AM17-0.2&gt;0,AM17-0.2,0)</f>
        <v>0.3</v>
      </c>
      <c r="AR17" s="301">
        <f t="shared" ref="AR17" si="6">IF(AN17-0.2&gt;0,AN17-0.2,0)</f>
        <v>0.39999999999999997</v>
      </c>
    </row>
    <row r="18" spans="1:51" ht="13.5" customHeight="1">
      <c r="A18" s="147"/>
      <c r="B18" s="165"/>
      <c r="C18" s="165"/>
      <c r="D18" s="624"/>
      <c r="E18" s="625"/>
      <c r="F18" s="626"/>
      <c r="G18" s="627"/>
      <c r="H18" s="628"/>
      <c r="I18" s="629"/>
      <c r="J18" s="630" t="str">
        <f>IF(D18="","",VLOOKUP(D18,$AP$9:$AR$17,2,FALSE))</f>
        <v/>
      </c>
      <c r="K18" s="631"/>
      <c r="L18" s="632" t="str">
        <f>IF(D18="","",ROUND(G18*J18,2))</f>
        <v/>
      </c>
      <c r="M18" s="633"/>
      <c r="N18" s="634"/>
      <c r="O18" s="635"/>
      <c r="P18" s="635"/>
      <c r="Q18" s="635"/>
      <c r="R18" s="636"/>
      <c r="S18" s="146"/>
      <c r="T18" s="225"/>
      <c r="U18" s="225" t="s">
        <v>325</v>
      </c>
    </row>
    <row r="19" spans="1:51" ht="13.5" customHeight="1">
      <c r="A19" s="147"/>
      <c r="B19" s="165"/>
      <c r="C19" s="165"/>
      <c r="D19" s="637"/>
      <c r="E19" s="638"/>
      <c r="F19" s="639"/>
      <c r="G19" s="640"/>
      <c r="H19" s="641"/>
      <c r="I19" s="642"/>
      <c r="J19" s="643" t="str">
        <f t="shared" ref="J19:J20" si="7">IF(D19="","",VLOOKUP(D19,$AP$9:$AR$17,2,FALSE))</f>
        <v/>
      </c>
      <c r="K19" s="790"/>
      <c r="L19" s="645" t="str">
        <f>IF(D19="","",ROUND(G19*J19,2))</f>
        <v/>
      </c>
      <c r="M19" s="646"/>
      <c r="N19" s="647"/>
      <c r="O19" s="648"/>
      <c r="P19" s="648"/>
      <c r="Q19" s="648"/>
      <c r="R19" s="649"/>
      <c r="S19" s="146"/>
      <c r="T19" s="225"/>
      <c r="U19" s="225" t="s">
        <v>326</v>
      </c>
      <c r="AL19" s="209" t="s">
        <v>264</v>
      </c>
      <c r="AM19" s="210">
        <v>0.25</v>
      </c>
      <c r="AP19" s="19" t="s">
        <v>437</v>
      </c>
    </row>
    <row r="20" spans="1:51" ht="13.5" customHeight="1">
      <c r="A20" s="147"/>
      <c r="B20" s="165"/>
      <c r="C20" s="165"/>
      <c r="D20" s="600"/>
      <c r="E20" s="601"/>
      <c r="F20" s="602"/>
      <c r="G20" s="603"/>
      <c r="H20" s="604"/>
      <c r="I20" s="605"/>
      <c r="J20" s="606" t="str">
        <f t="shared" si="7"/>
        <v/>
      </c>
      <c r="K20" s="664"/>
      <c r="L20" s="608" t="str">
        <f>IF(D20="","",ROUND(G20*J20,2))</f>
        <v/>
      </c>
      <c r="M20" s="609"/>
      <c r="N20" s="610"/>
      <c r="O20" s="611"/>
      <c r="P20" s="611"/>
      <c r="Q20" s="611"/>
      <c r="R20" s="612"/>
      <c r="S20" s="146"/>
      <c r="T20" s="180"/>
      <c r="U20" s="306" t="s">
        <v>502</v>
      </c>
      <c r="AK20" s="107"/>
      <c r="AL20" s="209" t="s">
        <v>265</v>
      </c>
      <c r="AM20" s="210">
        <v>0.3</v>
      </c>
      <c r="AN20" s="110"/>
      <c r="AP20" s="213" t="s">
        <v>283</v>
      </c>
      <c r="AQ20" s="214" t="s">
        <v>284</v>
      </c>
      <c r="AR20" s="214" t="s">
        <v>285</v>
      </c>
      <c r="AS20" s="214" t="s">
        <v>286</v>
      </c>
      <c r="AT20" s="214" t="s">
        <v>287</v>
      </c>
      <c r="AU20" s="214" t="s">
        <v>288</v>
      </c>
      <c r="AV20" s="214" t="s">
        <v>289</v>
      </c>
      <c r="AW20" s="214" t="s">
        <v>290</v>
      </c>
      <c r="AX20" s="214" t="s">
        <v>429</v>
      </c>
      <c r="AY20" s="214" t="s">
        <v>291</v>
      </c>
    </row>
    <row r="21" spans="1:51" ht="13.5" customHeight="1">
      <c r="A21" s="147"/>
      <c r="B21" s="165"/>
      <c r="C21" s="165"/>
      <c r="D21" s="613" t="s">
        <v>30</v>
      </c>
      <c r="E21" s="614"/>
      <c r="F21" s="615"/>
      <c r="G21" s="616">
        <f>SUM(G18:I20)</f>
        <v>0</v>
      </c>
      <c r="H21" s="617"/>
      <c r="I21" s="618"/>
      <c r="J21" s="613"/>
      <c r="K21" s="615"/>
      <c r="L21" s="619">
        <f>SUM(L18:M20)</f>
        <v>0</v>
      </c>
      <c r="M21" s="620"/>
      <c r="N21" s="621"/>
      <c r="O21" s="622"/>
      <c r="P21" s="622"/>
      <c r="Q21" s="622"/>
      <c r="R21" s="623"/>
      <c r="S21" s="146"/>
      <c r="T21" s="181"/>
      <c r="U21" s="181" t="s">
        <v>34</v>
      </c>
      <c r="AL21" s="209" t="s">
        <v>266</v>
      </c>
      <c r="AM21" s="210">
        <v>0.35</v>
      </c>
      <c r="AP21" s="215" t="s">
        <v>417</v>
      </c>
      <c r="AQ21" s="216">
        <f t="shared" ref="AQ21:AQ28" si="8">$I$31</f>
        <v>0</v>
      </c>
      <c r="AR21" s="216">
        <f>$K$31</f>
        <v>0</v>
      </c>
      <c r="AS21" s="216" t="e">
        <f>#REF!</f>
        <v>#REF!</v>
      </c>
      <c r="AT21" s="216">
        <f t="shared" ref="AT21:AT28" si="9">$M$31</f>
        <v>0</v>
      </c>
      <c r="AU21" s="217">
        <f>3.297*AT21+(1.971*AR21+4.663)</f>
        <v>4.6630000000000003</v>
      </c>
      <c r="AV21" s="217">
        <f>(1.401*AR21+0.684)*AT21+(1.214*AR21-0.834)</f>
        <v>-0.83399999999999996</v>
      </c>
      <c r="AW21" s="218" t="s">
        <v>344</v>
      </c>
      <c r="AX21" s="218" t="s">
        <v>215</v>
      </c>
      <c r="AY21" s="217">
        <f>AU21*AQ21+AV21</f>
        <v>-0.83399999999999996</v>
      </c>
    </row>
    <row r="22" spans="1:51" ht="13.5" customHeight="1">
      <c r="A22" s="147"/>
      <c r="B22" s="165"/>
      <c r="C22" s="165"/>
      <c r="D22" s="165"/>
      <c r="E22" s="165"/>
      <c r="F22" s="165"/>
      <c r="G22" s="165"/>
      <c r="H22" s="165"/>
      <c r="I22" s="165"/>
      <c r="J22" s="165"/>
      <c r="K22" s="165"/>
      <c r="L22" s="165"/>
      <c r="M22" s="165"/>
      <c r="N22" s="165"/>
      <c r="O22" s="165"/>
      <c r="P22" s="165"/>
      <c r="Q22" s="165"/>
      <c r="R22" s="165"/>
      <c r="S22" s="146"/>
      <c r="T22" s="181"/>
      <c r="U22" s="181" t="s">
        <v>436</v>
      </c>
      <c r="AL22" s="209" t="s">
        <v>267</v>
      </c>
      <c r="AM22" s="210">
        <v>0.4</v>
      </c>
      <c r="AP22" s="215" t="s">
        <v>418</v>
      </c>
      <c r="AQ22" s="216">
        <f t="shared" si="8"/>
        <v>0</v>
      </c>
      <c r="AR22" s="216">
        <f>$K$31</f>
        <v>0</v>
      </c>
      <c r="AS22" s="216" t="e">
        <f>#REF!</f>
        <v>#REF!</v>
      </c>
      <c r="AT22" s="216">
        <f t="shared" si="9"/>
        <v>0</v>
      </c>
      <c r="AU22" s="217">
        <f>3.297*AT22+(1.971*AR22+4.663)</f>
        <v>4.6630000000000003</v>
      </c>
      <c r="AV22" s="217">
        <f>(1.401*AR22+0.684)*AT22+(1.214*AR22-0.834)</f>
        <v>-0.83399999999999996</v>
      </c>
      <c r="AW22" s="218" t="s">
        <v>344</v>
      </c>
      <c r="AX22" s="218" t="e">
        <f>AQ22/(AQ22+AR22)</f>
        <v>#DIV/0!</v>
      </c>
      <c r="AY22" s="217" t="e">
        <f>(AU22*AQ22+AV22)*AX22</f>
        <v>#DIV/0!</v>
      </c>
    </row>
    <row r="23" spans="1:51" ht="13.5" customHeight="1">
      <c r="A23" s="147"/>
      <c r="B23" s="165">
        <v>2</v>
      </c>
      <c r="C23" s="167" t="s">
        <v>44</v>
      </c>
      <c r="D23" s="165"/>
      <c r="E23" s="165"/>
      <c r="F23" s="165"/>
      <c r="G23" s="165"/>
      <c r="H23" s="165"/>
      <c r="I23" s="165"/>
      <c r="J23" s="165"/>
      <c r="K23" s="165"/>
      <c r="L23" s="165"/>
      <c r="M23" s="165"/>
      <c r="N23" s="165"/>
      <c r="O23" s="165"/>
      <c r="P23" s="165"/>
      <c r="Q23" s="165"/>
      <c r="R23" s="165"/>
      <c r="S23" s="146"/>
      <c r="AL23" s="209" t="s">
        <v>268</v>
      </c>
      <c r="AM23" s="210">
        <v>0.45</v>
      </c>
      <c r="AP23" s="257" t="s">
        <v>426</v>
      </c>
      <c r="AQ23" s="216">
        <f t="shared" si="8"/>
        <v>0</v>
      </c>
      <c r="AR23" s="258">
        <v>5</v>
      </c>
      <c r="AS23" s="258" t="e">
        <f>#REF!</f>
        <v>#REF!</v>
      </c>
      <c r="AT23" s="216">
        <f t="shared" si="9"/>
        <v>0</v>
      </c>
      <c r="AU23" s="259" t="e">
        <f>8.83*(AT23/AR23)^(-0.461)</f>
        <v>#DIV/0!</v>
      </c>
      <c r="AV23" s="259">
        <v>7.03</v>
      </c>
      <c r="AW23" s="218" t="s">
        <v>215</v>
      </c>
      <c r="AX23" s="218" t="s">
        <v>215</v>
      </c>
      <c r="AY23" s="259" t="e">
        <f t="shared" ref="AY23:AY28" si="10">(AU23*AQ23+AV23)*AT23</f>
        <v>#DIV/0!</v>
      </c>
    </row>
    <row r="24" spans="1:51" ht="13.5" customHeight="1">
      <c r="A24" s="147"/>
      <c r="B24" s="165"/>
      <c r="C24" s="162" t="s">
        <v>356</v>
      </c>
      <c r="D24" s="165" t="s">
        <v>441</v>
      </c>
      <c r="E24" s="165"/>
      <c r="F24" s="165"/>
      <c r="G24" s="165"/>
      <c r="H24" s="165"/>
      <c r="I24" s="165"/>
      <c r="J24" s="151" t="s">
        <v>45</v>
      </c>
      <c r="K24" s="579">
        <v>0.9</v>
      </c>
      <c r="L24" s="579"/>
      <c r="M24" s="579"/>
      <c r="N24" s="165"/>
      <c r="O24" s="165"/>
      <c r="P24" s="166"/>
      <c r="Q24" s="165"/>
      <c r="R24" s="165"/>
      <c r="S24" s="146"/>
      <c r="T24" s="1" t="s">
        <v>319</v>
      </c>
      <c r="U24" s="1" t="s">
        <v>331</v>
      </c>
      <c r="AL24" s="209" t="s">
        <v>269</v>
      </c>
      <c r="AM24" s="210">
        <v>0.5</v>
      </c>
      <c r="AP24" s="304" t="s">
        <v>427</v>
      </c>
      <c r="AQ24" s="216">
        <f t="shared" si="8"/>
        <v>0</v>
      </c>
      <c r="AR24" s="216">
        <v>10</v>
      </c>
      <c r="AS24" s="216" t="e">
        <f>#REF!</f>
        <v>#REF!</v>
      </c>
      <c r="AT24" s="216">
        <f t="shared" si="9"/>
        <v>0</v>
      </c>
      <c r="AU24" s="217" t="e">
        <f>7.88*(AT24/AR24)^(-0.446)</f>
        <v>#DIV/0!</v>
      </c>
      <c r="AV24" s="217">
        <v>14</v>
      </c>
      <c r="AW24" s="218" t="s">
        <v>215</v>
      </c>
      <c r="AX24" s="218" t="s">
        <v>215</v>
      </c>
      <c r="AY24" s="217" t="e">
        <f t="shared" si="10"/>
        <v>#DIV/0!</v>
      </c>
    </row>
    <row r="25" spans="1:51" ht="13.5" customHeight="1">
      <c r="A25" s="147"/>
      <c r="B25" s="165"/>
      <c r="C25" s="162" t="s">
        <v>357</v>
      </c>
      <c r="D25" s="167" t="s">
        <v>46</v>
      </c>
      <c r="E25" s="167"/>
      <c r="F25" s="167"/>
      <c r="G25" s="167"/>
      <c r="H25" s="167"/>
      <c r="I25" s="167"/>
      <c r="J25" s="152" t="s">
        <v>47</v>
      </c>
      <c r="K25" s="791">
        <v>0.02</v>
      </c>
      <c r="L25" s="791"/>
      <c r="M25" s="791"/>
      <c r="N25" s="167"/>
      <c r="O25" s="162"/>
      <c r="P25" s="162"/>
      <c r="Q25" s="162"/>
      <c r="R25" s="151"/>
      <c r="S25" s="146"/>
      <c r="T25" s="1" t="s">
        <v>327</v>
      </c>
      <c r="U25" s="1" t="s">
        <v>755</v>
      </c>
      <c r="AL25" s="209" t="s">
        <v>270</v>
      </c>
      <c r="AM25" s="210">
        <v>0.55000000000000004</v>
      </c>
      <c r="AP25" s="304" t="s">
        <v>428</v>
      </c>
      <c r="AQ25" s="216">
        <f t="shared" si="8"/>
        <v>0</v>
      </c>
      <c r="AR25" s="216">
        <v>20</v>
      </c>
      <c r="AS25" s="216" t="e">
        <f>#REF!</f>
        <v>#REF!</v>
      </c>
      <c r="AT25" s="216">
        <f t="shared" si="9"/>
        <v>0</v>
      </c>
      <c r="AU25" s="217" t="e">
        <f>7.06*(AT25/AR25)^(-0.452)</f>
        <v>#DIV/0!</v>
      </c>
      <c r="AV25" s="217">
        <v>27.06</v>
      </c>
      <c r="AW25" s="218" t="s">
        <v>215</v>
      </c>
      <c r="AX25" s="218" t="s">
        <v>215</v>
      </c>
      <c r="AY25" s="217" t="e">
        <f t="shared" si="10"/>
        <v>#DIV/0!</v>
      </c>
    </row>
    <row r="26" spans="1:51" ht="13.5" customHeight="1">
      <c r="A26" s="147"/>
      <c r="B26" s="165"/>
      <c r="C26" s="162" t="s">
        <v>358</v>
      </c>
      <c r="D26" s="167" t="s">
        <v>48</v>
      </c>
      <c r="E26" s="167"/>
      <c r="F26" s="167"/>
      <c r="G26" s="167"/>
      <c r="H26" s="167"/>
      <c r="I26" s="167"/>
      <c r="J26" s="152" t="s">
        <v>49</v>
      </c>
      <c r="K26" s="792" t="s">
        <v>576</v>
      </c>
      <c r="L26" s="792"/>
      <c r="M26" s="792"/>
      <c r="N26" s="167"/>
      <c r="O26" s="151"/>
      <c r="P26" s="151"/>
      <c r="Q26" s="151"/>
      <c r="R26" s="151"/>
      <c r="S26" s="146"/>
      <c r="T26" s="1" t="s">
        <v>330</v>
      </c>
      <c r="U26" s="1" t="s">
        <v>334</v>
      </c>
      <c r="AL26" s="209" t="s">
        <v>272</v>
      </c>
      <c r="AM26" s="210">
        <v>0.6</v>
      </c>
      <c r="AP26" s="305" t="s">
        <v>430</v>
      </c>
      <c r="AQ26" s="216">
        <f t="shared" si="8"/>
        <v>0</v>
      </c>
      <c r="AR26" s="258">
        <v>5</v>
      </c>
      <c r="AS26" s="258" t="e">
        <f>#REF!</f>
        <v>#REF!</v>
      </c>
      <c r="AT26" s="216">
        <f t="shared" si="9"/>
        <v>0</v>
      </c>
      <c r="AU26" s="259" t="e">
        <f>1.94*(AT26/AR26)^(-0.328)</f>
        <v>#DIV/0!</v>
      </c>
      <c r="AV26" s="259">
        <v>7.57</v>
      </c>
      <c r="AW26" s="218" t="s">
        <v>215</v>
      </c>
      <c r="AX26" s="218" t="s">
        <v>215</v>
      </c>
      <c r="AY26" s="259" t="e">
        <f>(AU26*AQ26+AV26)*AT26</f>
        <v>#DIV/0!</v>
      </c>
    </row>
    <row r="27" spans="1:51" ht="13.5" customHeight="1">
      <c r="A27" s="147"/>
      <c r="B27" s="165"/>
      <c r="C27" s="262" t="s">
        <v>359</v>
      </c>
      <c r="D27" s="165" t="s">
        <v>412</v>
      </c>
      <c r="E27" s="165"/>
      <c r="F27" s="165"/>
      <c r="G27" s="165"/>
      <c r="H27" s="165"/>
      <c r="I27" s="151"/>
      <c r="J27" s="151"/>
      <c r="K27" s="776" t="s">
        <v>620</v>
      </c>
      <c r="L27" s="776"/>
      <c r="M27" s="776"/>
      <c r="N27" s="151"/>
      <c r="O27" s="152"/>
      <c r="P27" s="151"/>
      <c r="Q27" s="165"/>
      <c r="S27" s="146"/>
      <c r="T27" s="5" t="s">
        <v>332</v>
      </c>
      <c r="U27" s="272" t="s">
        <v>415</v>
      </c>
      <c r="AL27" s="209" t="s">
        <v>274</v>
      </c>
      <c r="AM27" s="210">
        <v>0.65</v>
      </c>
      <c r="AP27" s="304" t="s">
        <v>431</v>
      </c>
      <c r="AQ27" s="216">
        <f t="shared" si="8"/>
        <v>0</v>
      </c>
      <c r="AR27" s="216">
        <v>10</v>
      </c>
      <c r="AS27" s="216" t="e">
        <f>#REF!</f>
        <v>#REF!</v>
      </c>
      <c r="AT27" s="216">
        <f t="shared" si="9"/>
        <v>0</v>
      </c>
      <c r="AU27" s="217" t="e">
        <f>2.29*(AT27/AR27)^(-0.397)</f>
        <v>#DIV/0!</v>
      </c>
      <c r="AV27" s="217">
        <v>13.84</v>
      </c>
      <c r="AW27" s="218" t="s">
        <v>215</v>
      </c>
      <c r="AX27" s="218" t="s">
        <v>215</v>
      </c>
      <c r="AY27" s="217" t="e">
        <f t="shared" si="10"/>
        <v>#DIV/0!</v>
      </c>
    </row>
    <row r="28" spans="1:51" ht="13.5" customHeight="1">
      <c r="A28" s="147"/>
      <c r="B28" s="165"/>
      <c r="C28" s="162" t="s">
        <v>360</v>
      </c>
      <c r="D28" s="167" t="s">
        <v>393</v>
      </c>
      <c r="E28" s="167"/>
      <c r="F28" s="167"/>
      <c r="G28" s="167"/>
      <c r="H28" s="167"/>
      <c r="I28" s="167"/>
      <c r="J28" s="162"/>
      <c r="K28" s="162"/>
      <c r="L28" s="162"/>
      <c r="M28" s="152"/>
      <c r="N28" s="152"/>
      <c r="O28" s="163"/>
      <c r="P28" s="163"/>
      <c r="Q28" s="152"/>
      <c r="R28" s="164"/>
      <c r="S28" s="177"/>
      <c r="T28" s="1" t="s">
        <v>333</v>
      </c>
      <c r="U28" s="5" t="s">
        <v>336</v>
      </c>
      <c r="AL28" s="209" t="s">
        <v>276</v>
      </c>
      <c r="AM28" s="210">
        <v>0.7</v>
      </c>
      <c r="AP28" s="304" t="s">
        <v>432</v>
      </c>
      <c r="AQ28" s="216">
        <f t="shared" si="8"/>
        <v>0</v>
      </c>
      <c r="AR28" s="216">
        <v>20</v>
      </c>
      <c r="AS28" s="216" t="e">
        <f>#REF!</f>
        <v>#REF!</v>
      </c>
      <c r="AT28" s="216">
        <f t="shared" si="9"/>
        <v>0</v>
      </c>
      <c r="AU28" s="217" t="e">
        <f>2.37*(AT28/AR28)^(-0.488)</f>
        <v>#DIV/0!</v>
      </c>
      <c r="AV28" s="217">
        <v>26.36</v>
      </c>
      <c r="AW28" s="218" t="s">
        <v>215</v>
      </c>
      <c r="AX28" s="218" t="s">
        <v>215</v>
      </c>
      <c r="AY28" s="217" t="e">
        <f t="shared" si="10"/>
        <v>#DIV/0!</v>
      </c>
    </row>
    <row r="29" spans="1:51" ht="13.5" customHeight="1">
      <c r="A29" s="147"/>
      <c r="B29" s="165"/>
      <c r="C29" s="232"/>
      <c r="D29" s="793" t="s">
        <v>376</v>
      </c>
      <c r="E29" s="794"/>
      <c r="F29" s="794"/>
      <c r="G29" s="794"/>
      <c r="H29" s="795"/>
      <c r="I29" s="774" t="s">
        <v>384</v>
      </c>
      <c r="J29" s="774"/>
      <c r="K29" s="774" t="s">
        <v>386</v>
      </c>
      <c r="L29" s="774"/>
      <c r="M29" s="774" t="s">
        <v>388</v>
      </c>
      <c r="N29" s="774"/>
      <c r="O29" s="774" t="s">
        <v>389</v>
      </c>
      <c r="P29" s="774"/>
      <c r="Q29" s="152"/>
      <c r="R29" s="164"/>
      <c r="S29" s="177"/>
      <c r="U29" s="5" t="s">
        <v>337</v>
      </c>
      <c r="AL29" s="209" t="s">
        <v>277</v>
      </c>
      <c r="AM29" s="210">
        <v>0.75</v>
      </c>
    </row>
    <row r="30" spans="1:51" ht="13.5" customHeight="1">
      <c r="A30" s="147"/>
      <c r="B30" s="165"/>
      <c r="C30" s="162"/>
      <c r="D30" s="796"/>
      <c r="E30" s="797"/>
      <c r="F30" s="797"/>
      <c r="G30" s="797"/>
      <c r="H30" s="798"/>
      <c r="I30" s="775" t="s">
        <v>383</v>
      </c>
      <c r="J30" s="775"/>
      <c r="K30" s="775" t="s">
        <v>385</v>
      </c>
      <c r="L30" s="775"/>
      <c r="M30" s="775" t="s">
        <v>489</v>
      </c>
      <c r="N30" s="775"/>
      <c r="O30" s="775" t="s">
        <v>490</v>
      </c>
      <c r="P30" s="775"/>
      <c r="Q30" s="152"/>
      <c r="R30" s="164"/>
      <c r="S30" s="146"/>
      <c r="U30" s="5" t="s">
        <v>433</v>
      </c>
      <c r="AL30" s="209" t="s">
        <v>279</v>
      </c>
      <c r="AM30" s="210">
        <v>0.8</v>
      </c>
    </row>
    <row r="31" spans="1:51" ht="13.5" customHeight="1">
      <c r="A31" s="147"/>
      <c r="B31" s="165"/>
      <c r="C31" s="162"/>
      <c r="D31" s="820" t="str">
        <f>IF(AND($K$27="コンクリート",K31&lt;=4),"矩形ます(側面浸透)",IF(AND($K$27="砕石",K31&lt;=4),"矩形ます(側面・底面浸透)",IF(AND($K$27="コンクリート",K31&gt;4),"大型貯留槽（側面浸透）",IF(AND($K$27="砕石",K31&gt;4),"大型貯留槽（側面・底面浸透）",))))</f>
        <v>矩形ます(側面・底面浸透)</v>
      </c>
      <c r="E31" s="821"/>
      <c r="F31" s="821"/>
      <c r="G31" s="821"/>
      <c r="H31" s="822"/>
      <c r="I31" s="832"/>
      <c r="J31" s="832"/>
      <c r="K31" s="788"/>
      <c r="L31" s="788"/>
      <c r="M31" s="833"/>
      <c r="N31" s="833"/>
      <c r="O31" s="761">
        <v>1</v>
      </c>
      <c r="P31" s="761"/>
      <c r="Q31" s="152"/>
      <c r="R31" s="164"/>
      <c r="S31" s="146"/>
      <c r="U31" s="190" t="s">
        <v>314</v>
      </c>
      <c r="AL31" s="209" t="s">
        <v>281</v>
      </c>
      <c r="AM31" s="210">
        <v>0.85</v>
      </c>
    </row>
    <row r="32" spans="1:51" ht="13.5" customHeight="1">
      <c r="A32" s="147"/>
      <c r="B32" s="165"/>
      <c r="C32" s="280" t="s">
        <v>364</v>
      </c>
      <c r="D32" s="165" t="s">
        <v>458</v>
      </c>
      <c r="E32" s="165"/>
      <c r="F32" s="165"/>
      <c r="G32" s="165"/>
      <c r="H32" s="165"/>
      <c r="I32" s="165"/>
      <c r="J32" s="599" t="s">
        <v>750</v>
      </c>
      <c r="K32" s="599"/>
      <c r="L32" s="599"/>
      <c r="M32" s="599"/>
      <c r="N32" s="599"/>
      <c r="O32" s="149">
        <f>IF(J32="国県私が管理する排水施設","※要施設管理者と協議",0)</f>
        <v>0</v>
      </c>
      <c r="P32" s="165"/>
      <c r="Q32" s="165"/>
      <c r="R32" s="165"/>
      <c r="S32" s="146"/>
      <c r="T32" s="1" t="s">
        <v>335</v>
      </c>
      <c r="U32" s="1" t="s">
        <v>749</v>
      </c>
      <c r="AL32" s="209" t="s">
        <v>282</v>
      </c>
      <c r="AM32" s="210">
        <v>0.9</v>
      </c>
      <c r="AO32" s="12" t="str">
        <f>IF(AND($K$27="コンクリート",K31&lt;=4),"矩形ます_側面浸透",
IF(AND($K$27="砕石",K31&lt;=4),"矩形ます_側面・底面浸透",
IF(AND($K$27="コンクリート",K31&gt;4,K31&lt;=10),"大型貯留槽_側面浸透5_10",
IF(AND($K$27="砕石",K31&gt;4,K31&lt;=10),"大型貯留槽_側面・底面浸透5_10",
IF(AND($K$27="コンクリート",K31&gt;10),"大型貯留槽_側面浸透10_20",
IF(AND($K$27="砕石",K31&gt;10),"大型貯留槽_側面・底面浸透10_20",))))))</f>
        <v>矩形ます_側面・底面浸透</v>
      </c>
    </row>
    <row r="33" spans="1:55" ht="13.5" customHeight="1" thickBot="1">
      <c r="A33" s="147"/>
      <c r="B33" s="165"/>
      <c r="C33" s="167"/>
      <c r="D33" s="165"/>
      <c r="E33" s="165"/>
      <c r="F33" s="165"/>
      <c r="G33" s="165"/>
      <c r="H33" s="165"/>
      <c r="I33" s="165"/>
      <c r="J33" s="165"/>
      <c r="K33" s="165"/>
      <c r="L33" s="165"/>
      <c r="M33" s="165"/>
      <c r="N33" s="165"/>
      <c r="O33" s="165"/>
      <c r="P33" s="165"/>
      <c r="Q33" s="165"/>
      <c r="R33" s="165"/>
      <c r="S33" s="146"/>
      <c r="U33" s="1" t="s">
        <v>748</v>
      </c>
      <c r="AL33" s="211"/>
      <c r="AM33" s="212"/>
      <c r="AO33" s="12" t="s">
        <v>619</v>
      </c>
    </row>
    <row r="34" spans="1:55" ht="13.5" customHeight="1">
      <c r="A34" s="147"/>
      <c r="B34" s="165">
        <v>3</v>
      </c>
      <c r="C34" s="167" t="s">
        <v>61</v>
      </c>
      <c r="D34" s="165"/>
      <c r="E34" s="165"/>
      <c r="F34" s="165"/>
      <c r="G34" s="165"/>
      <c r="H34" s="165"/>
      <c r="I34" s="165"/>
      <c r="J34" s="165"/>
      <c r="K34" s="165"/>
      <c r="L34" s="165"/>
      <c r="M34" s="165"/>
      <c r="N34" s="165"/>
      <c r="O34" s="165"/>
      <c r="P34" s="165"/>
      <c r="Q34" s="165"/>
      <c r="R34" s="165"/>
      <c r="S34" s="146"/>
      <c r="T34" s="1" t="s">
        <v>328</v>
      </c>
      <c r="U34" s="1" t="s">
        <v>338</v>
      </c>
    </row>
    <row r="35" spans="1:55" ht="13.5" customHeight="1">
      <c r="A35" s="147"/>
      <c r="B35" s="165"/>
      <c r="C35" s="183" t="s">
        <v>339</v>
      </c>
      <c r="D35" s="165" t="s">
        <v>499</v>
      </c>
      <c r="E35" s="165"/>
      <c r="F35" s="165"/>
      <c r="G35" s="165"/>
      <c r="H35" s="165"/>
      <c r="I35" s="165"/>
      <c r="J35" s="152" t="s">
        <v>62</v>
      </c>
      <c r="K35" s="587"/>
      <c r="L35" s="587"/>
      <c r="M35" s="153" t="s">
        <v>63</v>
      </c>
      <c r="N35" s="165"/>
      <c r="O35" s="413" t="str">
        <f>IF(G21=0,"※直放なしのため入力不要","")</f>
        <v>※直放なしのため入力不要</v>
      </c>
      <c r="P35" s="327"/>
      <c r="Q35" s="327"/>
      <c r="R35" s="165"/>
      <c r="S35" s="146"/>
      <c r="T35" s="1" t="s">
        <v>340</v>
      </c>
      <c r="U35" s="1" t="s">
        <v>403</v>
      </c>
      <c r="AL35" s="264"/>
      <c r="AM35" s="264"/>
      <c r="AN35" s="264"/>
      <c r="AO35" s="264"/>
      <c r="AP35" s="264"/>
      <c r="AQ35" s="264"/>
      <c r="AR35" s="265"/>
      <c r="AS35" s="265"/>
      <c r="AT35" s="265"/>
      <c r="AU35" s="265"/>
      <c r="AV35" s="266"/>
      <c r="AW35" s="266"/>
      <c r="AX35" s="264"/>
      <c r="AY35" s="264"/>
      <c r="AZ35" s="264"/>
      <c r="BA35" s="264"/>
    </row>
    <row r="36" spans="1:55" ht="13.5" customHeight="1">
      <c r="A36" s="147"/>
      <c r="B36" s="165"/>
      <c r="C36" s="162" t="s">
        <v>771</v>
      </c>
      <c r="D36" s="165" t="s">
        <v>309</v>
      </c>
      <c r="E36" s="165"/>
      <c r="F36" s="165"/>
      <c r="G36" s="165"/>
      <c r="H36" s="165"/>
      <c r="I36" s="165"/>
      <c r="J36" s="138" t="s">
        <v>69</v>
      </c>
      <c r="K36" s="588">
        <v>2.5000000000000001E-2</v>
      </c>
      <c r="L36" s="588"/>
      <c r="M36" s="138" t="s">
        <v>70</v>
      </c>
      <c r="N36" s="165"/>
      <c r="O36" s="414" t="str">
        <f>IF(G21=0,"※直放なしのため入力不要","")</f>
        <v>※直放なしのため入力不要</v>
      </c>
      <c r="P36" s="327"/>
      <c r="Q36" s="327"/>
      <c r="R36" s="187"/>
      <c r="S36" s="146"/>
      <c r="T36" s="185" t="s">
        <v>772</v>
      </c>
      <c r="U36" s="1" t="s">
        <v>406</v>
      </c>
      <c r="AK36" s="171"/>
      <c r="AL36" s="6"/>
    </row>
    <row r="37" spans="1:55" ht="13.5" customHeight="1">
      <c r="A37" s="147"/>
      <c r="B37" s="165"/>
      <c r="C37" s="165"/>
      <c r="D37" s="165"/>
      <c r="E37" s="165"/>
      <c r="F37" s="165"/>
      <c r="G37" s="165"/>
      <c r="H37" s="165"/>
      <c r="I37" s="165"/>
      <c r="J37" s="165"/>
      <c r="K37" s="165"/>
      <c r="L37" s="327"/>
      <c r="M37" s="327"/>
      <c r="N37" s="327"/>
      <c r="O37" s="327"/>
      <c r="P37" s="327"/>
      <c r="Q37" s="327"/>
      <c r="R37" s="165"/>
      <c r="S37" s="146"/>
      <c r="U37" s="1" t="s">
        <v>416</v>
      </c>
      <c r="AK37" s="171"/>
      <c r="AL37" s="189"/>
    </row>
    <row r="38" spans="1:55" ht="13.5" customHeight="1">
      <c r="A38" s="155" t="s">
        <v>637</v>
      </c>
      <c r="B38" s="165"/>
      <c r="C38" s="165"/>
      <c r="D38" s="165"/>
      <c r="E38" s="165"/>
      <c r="F38" s="165"/>
      <c r="G38" s="165"/>
      <c r="H38" s="165"/>
      <c r="I38" s="165"/>
      <c r="J38" s="165"/>
      <c r="K38" s="165"/>
      <c r="L38" s="327"/>
      <c r="M38" s="327"/>
      <c r="N38" s="327"/>
      <c r="O38" s="327"/>
      <c r="P38" s="327"/>
      <c r="Q38" s="327"/>
      <c r="R38" s="165"/>
      <c r="S38" s="146"/>
      <c r="AK38" s="111"/>
      <c r="AL38" s="787" t="s">
        <v>52</v>
      </c>
      <c r="AM38" s="789"/>
      <c r="AN38" s="769" t="s">
        <v>302</v>
      </c>
      <c r="AO38" s="770"/>
      <c r="AP38" s="767" t="s">
        <v>303</v>
      </c>
      <c r="AQ38" s="768"/>
      <c r="AR38" s="787" t="s">
        <v>304</v>
      </c>
      <c r="AS38" s="784"/>
      <c r="AT38" s="787" t="s">
        <v>305</v>
      </c>
      <c r="AU38" s="784"/>
      <c r="AV38" s="783" t="s">
        <v>54</v>
      </c>
      <c r="AW38" s="784"/>
      <c r="AX38" s="767" t="s">
        <v>306</v>
      </c>
      <c r="AY38" s="768"/>
      <c r="AZ38" s="767" t="s">
        <v>56</v>
      </c>
      <c r="BA38" s="768"/>
    </row>
    <row r="39" spans="1:55" ht="13.5" customHeight="1">
      <c r="A39" s="147"/>
      <c r="B39" s="95"/>
      <c r="C39" s="96"/>
      <c r="D39" s="96"/>
      <c r="E39" s="96"/>
      <c r="F39" s="96"/>
      <c r="G39" s="97"/>
      <c r="H39" s="426" t="s">
        <v>210</v>
      </c>
      <c r="I39" s="426"/>
      <c r="J39" s="424"/>
      <c r="K39" s="426" t="s">
        <v>211</v>
      </c>
      <c r="L39" s="426"/>
      <c r="M39" s="426"/>
      <c r="N39" s="425" t="s">
        <v>212</v>
      </c>
      <c r="O39" s="426"/>
      <c r="P39" s="426"/>
      <c r="Q39" s="451" t="s">
        <v>213</v>
      </c>
      <c r="R39" s="452"/>
      <c r="S39" s="146"/>
      <c r="AK39" s="111"/>
      <c r="AL39" s="765">
        <f>IF(D31="大型貯留槽（側面・底面浸透）",$BA$10,IF(D31="大型貯留槽（側面浸透）",BA10-BA14,VLOOKUP(D31,$AP$21:$AY$22,10)))</f>
        <v>-0.83399999999999996</v>
      </c>
      <c r="AM39" s="766"/>
      <c r="AN39" s="765">
        <f>IF(D31&lt;&gt;0,$K$25,0)</f>
        <v>0.02</v>
      </c>
      <c r="AO39" s="766"/>
      <c r="AP39" s="765">
        <f>ROUND(AL39*AN39,3)</f>
        <v>-1.7000000000000001E-2</v>
      </c>
      <c r="AQ39" s="766"/>
      <c r="AR39" s="763">
        <f>IF(D31&lt;&gt;0,0.9,0)</f>
        <v>0.9</v>
      </c>
      <c r="AS39" s="764"/>
      <c r="AT39" s="763">
        <f>IF(D31="",0,IF($K$26="1.0m以上",1,0.9))</f>
        <v>0.9</v>
      </c>
      <c r="AU39" s="764"/>
      <c r="AV39" s="781">
        <f>IF(D31="",0,IF(D31="011透水性舗装",0.1,0.8))</f>
        <v>0.8</v>
      </c>
      <c r="AW39" s="782"/>
      <c r="AX39" s="765">
        <f>ROUND(AP39*AR39*AT39*AV39,3)</f>
        <v>-1.0999999999999999E-2</v>
      </c>
      <c r="AY39" s="766"/>
      <c r="AZ39" s="765">
        <f>I31*K31*M31*$K$24*O31</f>
        <v>0</v>
      </c>
      <c r="BA39" s="766"/>
    </row>
    <row r="40" spans="1:55" ht="13.5" customHeight="1">
      <c r="A40" s="147"/>
      <c r="B40" s="98"/>
      <c r="C40" s="99"/>
      <c r="D40" s="99"/>
      <c r="E40" s="99"/>
      <c r="F40" s="99"/>
      <c r="G40" s="100"/>
      <c r="H40" s="451"/>
      <c r="I40" s="453"/>
      <c r="J40" s="453"/>
      <c r="K40" s="451"/>
      <c r="L40" s="453"/>
      <c r="M40" s="452"/>
      <c r="N40" s="451"/>
      <c r="O40" s="453"/>
      <c r="P40" s="452"/>
      <c r="Q40" s="451"/>
      <c r="R40" s="452"/>
      <c r="S40" s="146"/>
      <c r="AL40" s="779"/>
      <c r="AM40" s="780"/>
      <c r="AN40" s="779"/>
      <c r="AO40" s="780"/>
      <c r="AP40" s="779"/>
      <c r="AQ40" s="780"/>
      <c r="AR40" s="785"/>
      <c r="AS40" s="786"/>
      <c r="AT40" s="785"/>
      <c r="AU40" s="786"/>
      <c r="AV40" s="777"/>
      <c r="AW40" s="778"/>
      <c r="AX40" s="779"/>
      <c r="AY40" s="780"/>
      <c r="AZ40" s="779"/>
      <c r="BA40" s="780"/>
    </row>
    <row r="41" spans="1:55" ht="13.5" customHeight="1">
      <c r="A41" s="147"/>
      <c r="B41" s="101" t="s">
        <v>214</v>
      </c>
      <c r="C41" s="70"/>
      <c r="D41" s="70"/>
      <c r="E41" s="70"/>
      <c r="F41" s="70"/>
      <c r="G41" s="102"/>
      <c r="H41" s="466">
        <f>E141</f>
        <v>0</v>
      </c>
      <c r="I41" s="467"/>
      <c r="J41" s="467"/>
      <c r="K41" s="466" t="s">
        <v>215</v>
      </c>
      <c r="L41" s="467"/>
      <c r="M41" s="467"/>
      <c r="N41" s="466" t="str">
        <f>E146</f>
        <v/>
      </c>
      <c r="O41" s="467"/>
      <c r="P41" s="468"/>
      <c r="Q41" s="456" t="str">
        <f>IF(H41&gt;=N41,"ＯＫ","ＮＧ")</f>
        <v>ＮＧ</v>
      </c>
      <c r="R41" s="457"/>
      <c r="S41" s="146"/>
    </row>
    <row r="42" spans="1:55" ht="13.5" customHeight="1">
      <c r="A42" s="147"/>
      <c r="B42" s="98"/>
      <c r="C42" s="99"/>
      <c r="D42" s="99"/>
      <c r="E42" s="99"/>
      <c r="F42" s="99"/>
      <c r="G42" s="100"/>
      <c r="H42" s="451"/>
      <c r="I42" s="453"/>
      <c r="J42" s="453"/>
      <c r="K42" s="473" t="str">
        <f>IF(M7=0,"","("&amp;ROUND(K43/($G$15/10000),0)&amp;" m3/ha)")</f>
        <v/>
      </c>
      <c r="L42" s="474"/>
      <c r="M42" s="475"/>
      <c r="N42" s="451"/>
      <c r="O42" s="453"/>
      <c r="P42" s="452"/>
      <c r="Q42" s="458"/>
      <c r="R42" s="460"/>
      <c r="S42" s="146"/>
    </row>
    <row r="43" spans="1:55" ht="13.5" customHeight="1">
      <c r="A43" s="147"/>
      <c r="B43" s="101" t="s">
        <v>467</v>
      </c>
      <c r="C43" s="70"/>
      <c r="D43" s="70"/>
      <c r="E43" s="70"/>
      <c r="F43" s="70"/>
      <c r="G43" s="102"/>
      <c r="H43" s="476" t="s">
        <v>215</v>
      </c>
      <c r="I43" s="477"/>
      <c r="J43" s="477"/>
      <c r="K43" s="476" t="e">
        <f>E238</f>
        <v>#VALUE!</v>
      </c>
      <c r="L43" s="477"/>
      <c r="M43" s="478"/>
      <c r="N43" s="476">
        <f>E243</f>
        <v>0</v>
      </c>
      <c r="O43" s="477"/>
      <c r="P43" s="478"/>
      <c r="Q43" s="456" t="e">
        <f>IF(K43&lt;=N43,"ＯＫ","ＮＧ")</f>
        <v>#VALUE!</v>
      </c>
      <c r="R43" s="457"/>
      <c r="S43" s="146"/>
      <c r="AL43" s="1" t="s">
        <v>65</v>
      </c>
      <c r="AN43" s="8"/>
      <c r="AP43" s="574">
        <f>ROUND(($G$15+G21+K35)/10000*K36,5)</f>
        <v>0</v>
      </c>
      <c r="AQ43" s="574"/>
      <c r="AR43" s="109" t="s">
        <v>64</v>
      </c>
    </row>
    <row r="44" spans="1:55" ht="13.5" customHeight="1" thickBot="1">
      <c r="A44" s="158"/>
      <c r="B44" s="159"/>
      <c r="C44" s="160"/>
      <c r="D44" s="160"/>
      <c r="E44" s="160"/>
      <c r="F44" s="160"/>
      <c r="G44" s="160"/>
      <c r="H44" s="160"/>
      <c r="I44" s="160"/>
      <c r="J44" s="160"/>
      <c r="K44" s="160"/>
      <c r="L44" s="160"/>
      <c r="M44" s="160"/>
      <c r="N44" s="160"/>
      <c r="O44" s="160"/>
      <c r="P44" s="160"/>
      <c r="Q44" s="160"/>
      <c r="R44" s="159"/>
      <c r="S44" s="179"/>
    </row>
    <row r="45" spans="1:55" ht="13.5" customHeight="1">
      <c r="A45" s="136"/>
      <c r="B45" s="136"/>
      <c r="C45" s="136"/>
      <c r="D45" s="369"/>
      <c r="E45" s="370"/>
      <c r="F45" s="370"/>
      <c r="G45" s="369"/>
      <c r="H45" s="369"/>
      <c r="I45" s="369"/>
      <c r="J45" s="369"/>
      <c r="K45" s="370"/>
      <c r="L45" s="327"/>
      <c r="M45" s="327"/>
      <c r="N45" s="327"/>
      <c r="O45" s="327"/>
      <c r="P45" s="327"/>
      <c r="Q45" s="327"/>
      <c r="R45" s="136"/>
      <c r="S45" s="136"/>
      <c r="AL45" s="5" t="s">
        <v>57</v>
      </c>
      <c r="AM45" s="5"/>
      <c r="AN45" s="5"/>
      <c r="AO45" s="5"/>
      <c r="AP45" s="5"/>
      <c r="AQ45" s="4"/>
      <c r="AR45" s="4" t="s">
        <v>58</v>
      </c>
      <c r="AS45" s="762" t="str">
        <f>IF(M7=0,"",ROUNDDOWN(SUMPRODUCT(AX39,O31)/G15/$M$7*1000,2))</f>
        <v/>
      </c>
      <c r="AT45" s="762"/>
      <c r="AU45" s="394" t="s">
        <v>59</v>
      </c>
      <c r="AV45" s="4"/>
      <c r="AW45" s="273" t="s">
        <v>60</v>
      </c>
      <c r="AX45" s="4"/>
      <c r="AY45" s="170"/>
    </row>
    <row r="46" spans="1:55" ht="13.5" customHeight="1">
      <c r="A46" s="136"/>
      <c r="B46" s="136"/>
      <c r="C46" s="136"/>
      <c r="D46" s="327"/>
      <c r="E46" s="136"/>
      <c r="F46" s="136"/>
      <c r="G46" s="136"/>
      <c r="H46" s="136"/>
      <c r="I46" s="136"/>
      <c r="J46" s="327"/>
      <c r="K46" s="327"/>
      <c r="L46" s="327"/>
      <c r="M46" s="327"/>
      <c r="N46" s="327"/>
      <c r="O46" s="327"/>
      <c r="P46" s="136"/>
      <c r="Q46" s="136"/>
      <c r="R46" s="136"/>
      <c r="S46" s="136"/>
      <c r="T46" s="12"/>
      <c r="U46" s="12"/>
      <c r="BB46" s="173"/>
      <c r="BC46" s="173"/>
    </row>
    <row r="47" spans="1:55" ht="13.5" customHeight="1">
      <c r="A47" s="133" t="s">
        <v>494</v>
      </c>
      <c r="B47" s="44"/>
      <c r="C47" s="44"/>
      <c r="D47" s="44"/>
      <c r="E47" s="44"/>
      <c r="F47" s="44"/>
      <c r="G47" s="44"/>
      <c r="H47" s="44"/>
      <c r="I47" s="44"/>
      <c r="J47" s="44"/>
      <c r="K47" s="44"/>
      <c r="L47" s="44"/>
      <c r="M47" s="44"/>
      <c r="N47" s="44"/>
      <c r="O47" s="44"/>
      <c r="P47" s="44"/>
      <c r="Q47" s="44"/>
      <c r="R47" s="44"/>
      <c r="S47" s="44"/>
      <c r="T47" s="44">
        <v>1</v>
      </c>
      <c r="U47" s="44"/>
    </row>
    <row r="48" spans="1:55" ht="13.5" customHeight="1">
      <c r="A48" s="133"/>
      <c r="B48" s="44"/>
      <c r="C48" s="44"/>
      <c r="D48" s="44"/>
      <c r="E48" s="44"/>
      <c r="F48" s="44"/>
      <c r="G48" s="44"/>
      <c r="H48" s="44"/>
      <c r="I48" s="44"/>
      <c r="J48" s="44"/>
      <c r="K48" s="44"/>
      <c r="L48" s="44"/>
      <c r="M48" s="44"/>
      <c r="N48" s="44"/>
      <c r="O48" s="44"/>
      <c r="P48" s="44"/>
      <c r="Q48" s="44"/>
      <c r="R48" s="44"/>
      <c r="S48" s="44"/>
      <c r="T48" s="44">
        <f t="shared" ref="T48:T149" si="11">T47+1</f>
        <v>2</v>
      </c>
      <c r="U48" s="44"/>
    </row>
    <row r="49" spans="1:55" ht="13.5" customHeight="1">
      <c r="A49" s="133"/>
      <c r="B49" s="44" t="s">
        <v>640</v>
      </c>
      <c r="C49" s="44"/>
      <c r="D49" s="44"/>
      <c r="E49" s="44"/>
      <c r="F49" s="44"/>
      <c r="G49" s="44"/>
      <c r="H49" s="44"/>
      <c r="I49" s="44"/>
      <c r="J49" s="44"/>
      <c r="K49" s="44"/>
      <c r="L49" s="44"/>
      <c r="M49" s="44"/>
      <c r="N49" s="44"/>
      <c r="O49" s="44"/>
      <c r="P49" s="44"/>
      <c r="Q49" s="44"/>
      <c r="R49" s="44"/>
      <c r="S49" s="44"/>
      <c r="T49" s="44">
        <f t="shared" si="11"/>
        <v>3</v>
      </c>
      <c r="U49" s="44"/>
    </row>
    <row r="50" spans="1:55" ht="13.5" customHeight="1">
      <c r="A50" s="133"/>
      <c r="B50" s="165">
        <v>1</v>
      </c>
      <c r="C50" s="165" t="s">
        <v>18</v>
      </c>
      <c r="D50" s="165"/>
      <c r="E50" s="165"/>
      <c r="F50" s="165"/>
      <c r="G50" s="165"/>
      <c r="H50" s="165"/>
      <c r="I50" s="165"/>
      <c r="J50" s="165"/>
      <c r="K50" s="165"/>
      <c r="L50" s="165"/>
      <c r="M50" s="165"/>
      <c r="N50" s="165"/>
      <c r="O50" s="165"/>
      <c r="P50" s="165"/>
      <c r="Q50" s="165"/>
      <c r="R50" s="165"/>
      <c r="S50" s="44"/>
      <c r="T50" s="44">
        <f t="shared" si="11"/>
        <v>4</v>
      </c>
      <c r="U50" s="44"/>
      <c r="AL50" s="557" t="s">
        <v>77</v>
      </c>
      <c r="AM50" s="557"/>
      <c r="AN50" s="112" t="s">
        <v>75</v>
      </c>
      <c r="AO50" s="573" t="e">
        <f>ROUND($AS$45,2)</f>
        <v>#VALUE!</v>
      </c>
      <c r="AP50" s="573"/>
      <c r="AQ50" s="113"/>
      <c r="AR50" s="557" t="s">
        <v>78</v>
      </c>
      <c r="AS50" s="557"/>
      <c r="AT50" s="108" t="s">
        <v>75</v>
      </c>
      <c r="AU50" s="573" t="e">
        <f>ROUND(2*$AX$60*$AS$45-$AT$59*($AV$60-1),2)</f>
        <v>#VALUE!</v>
      </c>
      <c r="AV50" s="573"/>
      <c r="AW50" s="176" t="s">
        <v>79</v>
      </c>
      <c r="AX50" s="112" t="s">
        <v>75</v>
      </c>
      <c r="AY50" s="566" t="e">
        <f>ROUND(($AS$45*$AX$60-$AT$59)*$AX$60,3)</f>
        <v>#VALUE!</v>
      </c>
      <c r="AZ50" s="566"/>
      <c r="BA50" s="566"/>
    </row>
    <row r="51" spans="1:55" ht="13.5" customHeight="1">
      <c r="A51" s="133"/>
      <c r="B51" s="165"/>
      <c r="C51" s="373" t="s">
        <v>760</v>
      </c>
      <c r="D51" s="165" t="s">
        <v>762</v>
      </c>
      <c r="E51" s="165"/>
      <c r="F51" s="151"/>
      <c r="G51" s="151"/>
      <c r="H51" s="755">
        <f>H6</f>
        <v>0</v>
      </c>
      <c r="I51" s="755"/>
      <c r="J51" s="755"/>
      <c r="K51" s="755"/>
      <c r="L51" s="755"/>
      <c r="M51" s="755"/>
      <c r="N51" s="755"/>
      <c r="O51" s="755"/>
      <c r="P51" s="755"/>
      <c r="Q51" s="755"/>
      <c r="R51" s="755"/>
      <c r="S51" s="44"/>
      <c r="T51" s="44">
        <f t="shared" si="11"/>
        <v>5</v>
      </c>
      <c r="U51" s="44"/>
      <c r="AL51" s="415"/>
      <c r="AM51" s="415"/>
      <c r="AN51" s="112"/>
      <c r="AO51" s="417"/>
      <c r="AP51" s="417"/>
      <c r="AQ51" s="416"/>
      <c r="AR51" s="415"/>
      <c r="AS51" s="415"/>
      <c r="AT51" s="108"/>
      <c r="AU51" s="417"/>
      <c r="AV51" s="417"/>
      <c r="AW51" s="176"/>
      <c r="AX51" s="112"/>
      <c r="AY51" s="416"/>
      <c r="AZ51" s="416"/>
      <c r="BA51" s="416"/>
    </row>
    <row r="52" spans="1:55" ht="13.5" customHeight="1">
      <c r="A52" s="133"/>
      <c r="B52" s="165"/>
      <c r="C52" s="372" t="s">
        <v>773</v>
      </c>
      <c r="D52" s="165" t="s">
        <v>20</v>
      </c>
      <c r="E52" s="165"/>
      <c r="F52" s="165"/>
      <c r="G52" s="165"/>
      <c r="H52" s="165"/>
      <c r="I52" s="165"/>
      <c r="J52" s="165"/>
      <c r="K52" s="165"/>
      <c r="L52" s="151" t="s">
        <v>21</v>
      </c>
      <c r="M52" s="664">
        <f>M7</f>
        <v>0</v>
      </c>
      <c r="N52" s="664"/>
      <c r="O52" s="165" t="s">
        <v>22</v>
      </c>
      <c r="P52" s="165"/>
      <c r="Q52" s="165"/>
      <c r="R52" s="165"/>
      <c r="S52" s="44"/>
      <c r="T52" s="44">
        <f t="shared" si="11"/>
        <v>6</v>
      </c>
      <c r="U52" s="44"/>
      <c r="AL52" s="557" t="s">
        <v>81</v>
      </c>
      <c r="AM52" s="557"/>
      <c r="AN52" s="112" t="s">
        <v>75</v>
      </c>
      <c r="AO52" s="567" t="e">
        <f>2*ROUND($AS$45,2)</f>
        <v>#VALUE!</v>
      </c>
      <c r="AP52" s="567"/>
      <c r="AQ52" s="113"/>
      <c r="AR52" s="557" t="s">
        <v>82</v>
      </c>
      <c r="AS52" s="557"/>
      <c r="AT52" s="106" t="s">
        <v>75</v>
      </c>
      <c r="AU52" s="568" t="e">
        <f>ROUND($AV$53^$AV$60,3)</f>
        <v>#VALUE!</v>
      </c>
      <c r="AV52" s="568"/>
    </row>
    <row r="53" spans="1:55" ht="13.5" customHeight="1">
      <c r="A53" s="133"/>
      <c r="B53" s="165"/>
      <c r="C53" s="372"/>
      <c r="D53" s="665" t="s">
        <v>23</v>
      </c>
      <c r="E53" s="666"/>
      <c r="F53" s="667"/>
      <c r="G53" s="665" t="s">
        <v>24</v>
      </c>
      <c r="H53" s="666"/>
      <c r="I53" s="667"/>
      <c r="J53" s="665" t="s">
        <v>25</v>
      </c>
      <c r="K53" s="667"/>
      <c r="L53" s="665" t="s">
        <v>26</v>
      </c>
      <c r="M53" s="667"/>
      <c r="N53" s="665" t="s">
        <v>27</v>
      </c>
      <c r="O53" s="666"/>
      <c r="P53" s="666"/>
      <c r="Q53" s="666"/>
      <c r="R53" s="667"/>
      <c r="S53" s="44"/>
      <c r="T53" s="44">
        <f t="shared" si="11"/>
        <v>7</v>
      </c>
      <c r="U53" s="44"/>
      <c r="AL53" s="557" t="s">
        <v>83</v>
      </c>
      <c r="AM53" s="557"/>
      <c r="AN53" s="108" t="s">
        <v>75</v>
      </c>
      <c r="AO53" s="569" t="e">
        <f>ROUNDUP($AT$59/(AU52+$AX$60),2)</f>
        <v>#VALUE!</v>
      </c>
      <c r="AP53" s="570"/>
      <c r="AQ53" s="1" t="s">
        <v>59</v>
      </c>
      <c r="AT53" s="176" t="s">
        <v>84</v>
      </c>
      <c r="AU53" s="112" t="s">
        <v>75</v>
      </c>
      <c r="AV53" s="571" t="e">
        <f>ROUND((($AU$50+SQRT($AU$50^2-4*AO50*$AY$50))/(2*AO50))^(1/$AV$60),2)</f>
        <v>#VALUE!</v>
      </c>
      <c r="AW53" s="572"/>
      <c r="AX53" s="114" t="s">
        <v>85</v>
      </c>
    </row>
    <row r="54" spans="1:55" ht="13.5" customHeight="1">
      <c r="A54" s="133"/>
      <c r="B54" s="165"/>
      <c r="C54" s="372"/>
      <c r="D54" s="674">
        <f t="shared" ref="D54:D59" si="12">D9</f>
        <v>0</v>
      </c>
      <c r="E54" s="675"/>
      <c r="F54" s="676"/>
      <c r="G54" s="677">
        <f t="shared" ref="G54:G59" si="13">G9</f>
        <v>0</v>
      </c>
      <c r="H54" s="678"/>
      <c r="I54" s="679"/>
      <c r="J54" s="630" t="str">
        <f t="shared" ref="J54:J59" si="14">J9</f>
        <v/>
      </c>
      <c r="K54" s="834"/>
      <c r="L54" s="668" t="str">
        <f t="shared" ref="L54:L60" si="15">L9</f>
        <v/>
      </c>
      <c r="M54" s="669"/>
      <c r="N54" s="684">
        <f t="shared" ref="N54:N59" si="16">N9</f>
        <v>0</v>
      </c>
      <c r="O54" s="685"/>
      <c r="P54" s="685"/>
      <c r="Q54" s="685"/>
      <c r="R54" s="686"/>
      <c r="S54" s="44"/>
      <c r="T54" s="44">
        <f t="shared" si="11"/>
        <v>8</v>
      </c>
      <c r="U54" s="44"/>
      <c r="AL54" s="105" t="s">
        <v>87</v>
      </c>
      <c r="AM54" s="105"/>
      <c r="AN54" s="105"/>
      <c r="AO54" s="105"/>
      <c r="AP54" s="105"/>
      <c r="AQ54" s="105"/>
      <c r="AR54" s="105"/>
    </row>
    <row r="55" spans="1:55" ht="13.5" customHeight="1">
      <c r="A55" s="133"/>
      <c r="B55" s="165"/>
      <c r="C55" s="372"/>
      <c r="D55" s="687">
        <f t="shared" si="12"/>
        <v>0</v>
      </c>
      <c r="E55" s="688"/>
      <c r="F55" s="689"/>
      <c r="G55" s="690">
        <f t="shared" si="13"/>
        <v>0</v>
      </c>
      <c r="H55" s="691"/>
      <c r="I55" s="692"/>
      <c r="J55" s="643" t="str">
        <f t="shared" si="14"/>
        <v/>
      </c>
      <c r="K55" s="644"/>
      <c r="L55" s="650" t="str">
        <f t="shared" si="15"/>
        <v/>
      </c>
      <c r="M55" s="651"/>
      <c r="N55" s="697">
        <f t="shared" si="16"/>
        <v>0</v>
      </c>
      <c r="O55" s="698"/>
      <c r="P55" s="698"/>
      <c r="Q55" s="698"/>
      <c r="R55" s="699"/>
      <c r="S55" s="44"/>
      <c r="T55" s="44">
        <f t="shared" si="11"/>
        <v>9</v>
      </c>
      <c r="U55" s="44"/>
      <c r="AL55" s="105"/>
      <c r="AM55" s="105" t="s">
        <v>88</v>
      </c>
      <c r="AN55" s="105"/>
      <c r="AO55" s="105" t="s">
        <v>89</v>
      </c>
      <c r="AP55" s="110"/>
      <c r="AQ55" s="110"/>
      <c r="AR55" s="110"/>
      <c r="AS55" s="773">
        <v>15</v>
      </c>
      <c r="AT55" s="773"/>
      <c r="AU55" s="105" t="s">
        <v>90</v>
      </c>
      <c r="AV55" s="105"/>
      <c r="AW55" s="1" t="s">
        <v>91</v>
      </c>
    </row>
    <row r="56" spans="1:55" ht="13.5" customHeight="1">
      <c r="A56" s="133"/>
      <c r="B56" s="165"/>
      <c r="C56" s="372"/>
      <c r="D56" s="687">
        <f t="shared" si="12"/>
        <v>0</v>
      </c>
      <c r="E56" s="688"/>
      <c r="F56" s="689"/>
      <c r="G56" s="690">
        <f t="shared" si="13"/>
        <v>0</v>
      </c>
      <c r="H56" s="691"/>
      <c r="I56" s="692"/>
      <c r="J56" s="643" t="str">
        <f t="shared" si="14"/>
        <v/>
      </c>
      <c r="K56" s="644"/>
      <c r="L56" s="650" t="str">
        <f t="shared" si="15"/>
        <v/>
      </c>
      <c r="M56" s="651"/>
      <c r="N56" s="697">
        <f t="shared" si="16"/>
        <v>0</v>
      </c>
      <c r="O56" s="698"/>
      <c r="P56" s="698"/>
      <c r="Q56" s="698"/>
      <c r="R56" s="699"/>
      <c r="S56" s="44"/>
      <c r="T56" s="44">
        <f t="shared" si="11"/>
        <v>10</v>
      </c>
      <c r="U56" s="44"/>
    </row>
    <row r="57" spans="1:55" ht="13.5" customHeight="1">
      <c r="A57" s="133"/>
      <c r="B57" s="165"/>
      <c r="C57" s="372"/>
      <c r="D57" s="687">
        <f t="shared" si="12"/>
        <v>0</v>
      </c>
      <c r="E57" s="688"/>
      <c r="F57" s="689"/>
      <c r="G57" s="690">
        <f t="shared" si="13"/>
        <v>0</v>
      </c>
      <c r="H57" s="691"/>
      <c r="I57" s="692"/>
      <c r="J57" s="643" t="str">
        <f t="shared" si="14"/>
        <v/>
      </c>
      <c r="K57" s="644"/>
      <c r="L57" s="650" t="str">
        <f t="shared" si="15"/>
        <v/>
      </c>
      <c r="M57" s="651"/>
      <c r="N57" s="697">
        <f t="shared" si="16"/>
        <v>0</v>
      </c>
      <c r="O57" s="698"/>
      <c r="P57" s="698"/>
      <c r="Q57" s="698"/>
      <c r="R57" s="699"/>
      <c r="S57" s="44"/>
      <c r="T57" s="44">
        <f t="shared" si="11"/>
        <v>11</v>
      </c>
      <c r="U57" s="44"/>
      <c r="AK57" s="5"/>
      <c r="AL57" s="5" t="s">
        <v>313</v>
      </c>
      <c r="AM57" s="5" t="s">
        <v>35</v>
      </c>
      <c r="AN57" s="5"/>
      <c r="AO57" s="171"/>
      <c r="AP57" s="171"/>
      <c r="AQ57" s="171"/>
      <c r="AR57" s="171"/>
      <c r="AS57" s="171"/>
      <c r="AT57" s="171"/>
      <c r="AU57" s="171"/>
      <c r="AV57" s="171"/>
      <c r="AW57" s="12"/>
      <c r="AX57" s="12"/>
      <c r="AY57" s="12"/>
      <c r="AZ57" s="12"/>
      <c r="BA57" s="172"/>
      <c r="BB57" s="172"/>
      <c r="BC57" s="172"/>
    </row>
    <row r="58" spans="1:55" ht="13.5" customHeight="1">
      <c r="A58" s="133"/>
      <c r="B58" s="165"/>
      <c r="C58" s="372"/>
      <c r="D58" s="687">
        <f t="shared" si="12"/>
        <v>0</v>
      </c>
      <c r="E58" s="688"/>
      <c r="F58" s="689"/>
      <c r="G58" s="690">
        <f t="shared" si="13"/>
        <v>0</v>
      </c>
      <c r="H58" s="691"/>
      <c r="I58" s="692"/>
      <c r="J58" s="643" t="str">
        <f t="shared" si="14"/>
        <v/>
      </c>
      <c r="K58" s="644"/>
      <c r="L58" s="650" t="str">
        <f t="shared" si="15"/>
        <v/>
      </c>
      <c r="M58" s="651"/>
      <c r="N58" s="697">
        <f t="shared" si="16"/>
        <v>0</v>
      </c>
      <c r="O58" s="698"/>
      <c r="P58" s="698"/>
      <c r="Q58" s="698"/>
      <c r="R58" s="699"/>
      <c r="S58" s="44"/>
      <c r="T58" s="44">
        <f t="shared" si="11"/>
        <v>12</v>
      </c>
      <c r="U58" s="44"/>
      <c r="AK58" s="5"/>
      <c r="AL58" s="5"/>
      <c r="AM58" s="371"/>
      <c r="AN58" s="5" t="s">
        <v>37</v>
      </c>
      <c r="AO58" s="5"/>
      <c r="AP58" s="5"/>
      <c r="AQ58" s="5"/>
      <c r="AR58" s="562" t="str">
        <f>"年超過確率 1/10"</f>
        <v>年超過確率 1/10</v>
      </c>
      <c r="AS58" s="563"/>
      <c r="AT58" s="563"/>
      <c r="AU58" s="563"/>
      <c r="AV58" s="563"/>
      <c r="AW58" s="563"/>
      <c r="AX58" s="563"/>
      <c r="AY58" s="563"/>
      <c r="AZ58" s="563"/>
      <c r="BA58" s="271"/>
      <c r="BB58" s="271"/>
      <c r="BC58" s="5"/>
    </row>
    <row r="59" spans="1:55" ht="13.5" customHeight="1">
      <c r="A59" s="133"/>
      <c r="B59" s="165"/>
      <c r="C59" s="372"/>
      <c r="D59" s="687">
        <f t="shared" si="12"/>
        <v>0</v>
      </c>
      <c r="E59" s="688"/>
      <c r="F59" s="689"/>
      <c r="G59" s="690">
        <f t="shared" si="13"/>
        <v>0</v>
      </c>
      <c r="H59" s="691"/>
      <c r="I59" s="692"/>
      <c r="J59" s="643" t="str">
        <f t="shared" si="14"/>
        <v/>
      </c>
      <c r="K59" s="644"/>
      <c r="L59" s="650" t="str">
        <f t="shared" si="15"/>
        <v/>
      </c>
      <c r="M59" s="651"/>
      <c r="N59" s="697">
        <f t="shared" si="16"/>
        <v>0</v>
      </c>
      <c r="O59" s="698"/>
      <c r="P59" s="698"/>
      <c r="Q59" s="698"/>
      <c r="R59" s="699"/>
      <c r="S59" s="44"/>
      <c r="T59" s="44">
        <f t="shared" si="11"/>
        <v>13</v>
      </c>
      <c r="U59" s="44"/>
      <c r="AK59" s="5"/>
      <c r="AL59" s="5"/>
      <c r="AM59" s="562"/>
      <c r="AN59" s="4" t="s">
        <v>38</v>
      </c>
      <c r="AO59" s="4"/>
      <c r="AP59" s="4"/>
      <c r="AQ59" s="272"/>
      <c r="AR59" s="562" t="s">
        <v>39</v>
      </c>
      <c r="AS59" s="562"/>
      <c r="AT59" s="564">
        <f>VLOOKUP($AR$58,計画降雨名称・定数,2,FALSE)</f>
        <v>1695</v>
      </c>
      <c r="AU59" s="564"/>
      <c r="AV59" s="564"/>
      <c r="AW59" s="564"/>
      <c r="AX59" s="564"/>
      <c r="AY59" s="564"/>
      <c r="AZ59" s="564"/>
      <c r="BA59" s="4"/>
      <c r="BB59" s="4"/>
      <c r="BC59" s="5"/>
    </row>
    <row r="60" spans="1:55" ht="14.25">
      <c r="A60" s="133"/>
      <c r="B60" s="165"/>
      <c r="C60" s="372"/>
      <c r="D60" s="613" t="s">
        <v>30</v>
      </c>
      <c r="E60" s="614"/>
      <c r="F60" s="615"/>
      <c r="G60" s="616">
        <f>ROUND(SUM(G54:I59),1)</f>
        <v>0</v>
      </c>
      <c r="H60" s="617"/>
      <c r="I60" s="618"/>
      <c r="J60" s="174"/>
      <c r="K60" s="135"/>
      <c r="L60" s="656">
        <f t="shared" si="15"/>
        <v>0</v>
      </c>
      <c r="M60" s="657"/>
      <c r="N60" s="658"/>
      <c r="O60" s="659"/>
      <c r="P60" s="659"/>
      <c r="Q60" s="659"/>
      <c r="R60" s="660"/>
      <c r="S60" s="44"/>
      <c r="T60" s="44">
        <f t="shared" si="11"/>
        <v>14</v>
      </c>
      <c r="U60" s="44"/>
      <c r="AK60" s="5"/>
      <c r="AL60" s="5"/>
      <c r="AM60" s="562"/>
      <c r="AN60" s="4"/>
      <c r="AO60" s="4"/>
      <c r="AP60" s="4"/>
      <c r="AQ60" s="272"/>
      <c r="AR60" s="562"/>
      <c r="AS60" s="562"/>
      <c r="AT60" s="273" t="s">
        <v>40</v>
      </c>
      <c r="AU60" s="273" t="s">
        <v>41</v>
      </c>
      <c r="AV60" s="274">
        <f>VLOOKUP($AR$58,計画降雨名称・定数,4,FALSE)</f>
        <v>0.75</v>
      </c>
      <c r="AW60" s="273" t="s">
        <v>42</v>
      </c>
      <c r="AX60" s="772">
        <f>VLOOKUP($AR$58,計画降雨名称・定数,3,FALSE)</f>
        <v>10</v>
      </c>
      <c r="AY60" s="772"/>
      <c r="AZ60" s="273" t="s">
        <v>43</v>
      </c>
      <c r="BA60" s="4"/>
      <c r="BB60" s="4"/>
      <c r="BC60" s="5"/>
    </row>
    <row r="61" spans="1:55" ht="14.25" customHeight="1">
      <c r="A61" s="133"/>
      <c r="B61" s="165"/>
      <c r="C61" s="372" t="s">
        <v>774</v>
      </c>
      <c r="D61" s="165" t="s">
        <v>31</v>
      </c>
      <c r="E61" s="165"/>
      <c r="F61" s="165"/>
      <c r="G61" s="165"/>
      <c r="H61" s="165"/>
      <c r="I61" s="165"/>
      <c r="J61" s="165"/>
      <c r="K61" s="165"/>
      <c r="L61" s="151" t="s">
        <v>21</v>
      </c>
      <c r="M61" s="652">
        <f>M16</f>
        <v>0</v>
      </c>
      <c r="N61" s="652"/>
      <c r="O61" s="165" t="s">
        <v>22</v>
      </c>
      <c r="P61" s="151"/>
      <c r="Q61" s="165"/>
      <c r="R61" s="165"/>
      <c r="S61" s="44"/>
      <c r="T61" s="44">
        <f t="shared" si="11"/>
        <v>15</v>
      </c>
      <c r="U61" s="44"/>
      <c r="AK61" s="5"/>
      <c r="AL61" s="5"/>
      <c r="AM61" s="5"/>
      <c r="AN61" s="5"/>
      <c r="AO61" s="5"/>
      <c r="AP61" s="5"/>
      <c r="AQ61" s="5"/>
      <c r="AR61" s="5"/>
      <c r="AS61" s="5"/>
      <c r="AT61" s="5"/>
      <c r="AU61" s="5"/>
      <c r="AV61" s="5"/>
      <c r="AW61" s="5"/>
      <c r="AX61" s="5"/>
      <c r="AY61" s="5"/>
      <c r="AZ61" s="5"/>
      <c r="BA61" s="5"/>
      <c r="BB61" s="5"/>
      <c r="BC61" s="5"/>
    </row>
    <row r="62" spans="1:55" ht="14.25">
      <c r="A62" s="133"/>
      <c r="B62" s="165"/>
      <c r="C62" s="165"/>
      <c r="D62" s="621" t="s">
        <v>23</v>
      </c>
      <c r="E62" s="622"/>
      <c r="F62" s="623"/>
      <c r="G62" s="653" t="s">
        <v>32</v>
      </c>
      <c r="H62" s="654"/>
      <c r="I62" s="655"/>
      <c r="J62" s="621" t="s">
        <v>25</v>
      </c>
      <c r="K62" s="623"/>
      <c r="L62" s="621" t="s">
        <v>26</v>
      </c>
      <c r="M62" s="623"/>
      <c r="N62" s="621" t="s">
        <v>27</v>
      </c>
      <c r="O62" s="622"/>
      <c r="P62" s="622"/>
      <c r="Q62" s="622"/>
      <c r="R62" s="623"/>
      <c r="S62" s="44"/>
      <c r="T62" s="44">
        <f t="shared" si="11"/>
        <v>16</v>
      </c>
      <c r="U62" s="44"/>
      <c r="AK62" s="276" t="s">
        <v>310</v>
      </c>
      <c r="AL62" s="5"/>
      <c r="AM62" s="5"/>
      <c r="AN62" s="5"/>
      <c r="AO62" s="5"/>
      <c r="AP62" s="5"/>
      <c r="AQ62" s="5"/>
      <c r="AR62" s="5"/>
      <c r="AS62" s="4" t="s">
        <v>74</v>
      </c>
      <c r="AT62" s="275" t="s">
        <v>75</v>
      </c>
      <c r="AU62" s="771" t="e">
        <f>ROUND(($AO$53-$AS$45)*$AV$53*60*($M$7*$G$15/10000)/360,2)</f>
        <v>#VALUE!</v>
      </c>
      <c r="AV62" s="771"/>
      <c r="AW62" s="5" t="s">
        <v>76</v>
      </c>
      <c r="AX62" s="5"/>
      <c r="AY62" s="5"/>
      <c r="AZ62" s="5"/>
      <c r="BA62" s="5"/>
      <c r="BB62" s="5"/>
      <c r="BC62" s="5"/>
    </row>
    <row r="63" spans="1:55" ht="14.25" customHeight="1">
      <c r="A63" s="133"/>
      <c r="B63" s="165"/>
      <c r="C63" s="165"/>
      <c r="D63" s="674">
        <f>D18</f>
        <v>0</v>
      </c>
      <c r="E63" s="675"/>
      <c r="F63" s="676"/>
      <c r="G63" s="677">
        <f>G18</f>
        <v>0</v>
      </c>
      <c r="H63" s="678"/>
      <c r="I63" s="679"/>
      <c r="J63" s="630" t="str">
        <f>J18</f>
        <v/>
      </c>
      <c r="K63" s="834"/>
      <c r="L63" s="632" t="str">
        <f>L18</f>
        <v/>
      </c>
      <c r="M63" s="633"/>
      <c r="N63" s="684">
        <f>N18</f>
        <v>0</v>
      </c>
      <c r="O63" s="685"/>
      <c r="P63" s="685"/>
      <c r="Q63" s="685"/>
      <c r="R63" s="686"/>
      <c r="S63" s="44"/>
      <c r="T63" s="44">
        <f t="shared" si="11"/>
        <v>17</v>
      </c>
      <c r="U63" s="44"/>
      <c r="AK63" s="5"/>
      <c r="AL63" s="5"/>
      <c r="AM63" s="5"/>
      <c r="AN63" s="5"/>
      <c r="AO63" s="5"/>
      <c r="AP63" s="5"/>
      <c r="AQ63" s="5"/>
      <c r="AR63" s="5"/>
      <c r="AS63" s="5"/>
      <c r="AT63" s="5"/>
      <c r="AU63" s="5"/>
      <c r="AV63" s="5"/>
      <c r="AW63" s="5"/>
      <c r="AX63" s="5"/>
      <c r="AY63" s="5"/>
      <c r="AZ63" s="5"/>
      <c r="BA63" s="5"/>
      <c r="BB63" s="5"/>
      <c r="BC63" s="5"/>
    </row>
    <row r="64" spans="1:55" ht="14.25">
      <c r="A64" s="133"/>
      <c r="B64" s="165"/>
      <c r="C64" s="165"/>
      <c r="D64" s="687">
        <f>D19</f>
        <v>0</v>
      </c>
      <c r="E64" s="688"/>
      <c r="F64" s="689"/>
      <c r="G64" s="690">
        <f>G19</f>
        <v>0</v>
      </c>
      <c r="H64" s="691"/>
      <c r="I64" s="692"/>
      <c r="J64" s="643" t="str">
        <f>J19</f>
        <v/>
      </c>
      <c r="K64" s="644"/>
      <c r="L64" s="645" t="str">
        <f>L19</f>
        <v/>
      </c>
      <c r="M64" s="646"/>
      <c r="N64" s="697">
        <f>N19</f>
        <v>0</v>
      </c>
      <c r="O64" s="698"/>
      <c r="P64" s="698"/>
      <c r="Q64" s="698"/>
      <c r="R64" s="699"/>
      <c r="S64" s="44"/>
      <c r="T64" s="44">
        <f t="shared" si="11"/>
        <v>18</v>
      </c>
      <c r="U64" s="44"/>
      <c r="AK64" s="277" t="s">
        <v>311</v>
      </c>
      <c r="AL64" s="105"/>
      <c r="AM64" s="105"/>
      <c r="AN64" s="105"/>
      <c r="AO64" s="105"/>
      <c r="AP64" s="105"/>
      <c r="AQ64" s="105"/>
      <c r="AR64" s="105"/>
      <c r="AS64" s="278" t="s">
        <v>80</v>
      </c>
      <c r="AT64" s="279" t="s">
        <v>75</v>
      </c>
      <c r="AU64" s="771">
        <f>ROUND(AS55/10000*G15,2)</f>
        <v>0</v>
      </c>
      <c r="AV64" s="771"/>
      <c r="AW64" s="105" t="s">
        <v>76</v>
      </c>
      <c r="AX64" s="5"/>
      <c r="AY64" s="5"/>
      <c r="AZ64" s="5"/>
      <c r="BA64" s="5"/>
      <c r="BB64" s="5"/>
      <c r="BC64" s="5"/>
    </row>
    <row r="65" spans="1:21" ht="16.5" customHeight="1">
      <c r="A65" s="133"/>
      <c r="B65" s="165"/>
      <c r="C65" s="165"/>
      <c r="D65" s="716">
        <f>D20</f>
        <v>0</v>
      </c>
      <c r="E65" s="717"/>
      <c r="F65" s="718"/>
      <c r="G65" s="719">
        <f>G20</f>
        <v>0</v>
      </c>
      <c r="H65" s="720"/>
      <c r="I65" s="721"/>
      <c r="J65" s="606" t="str">
        <f>J20</f>
        <v/>
      </c>
      <c r="K65" s="607"/>
      <c r="L65" s="608" t="str">
        <f>L20</f>
        <v/>
      </c>
      <c r="M65" s="609"/>
      <c r="N65" s="726">
        <f>N20</f>
        <v>0</v>
      </c>
      <c r="O65" s="727"/>
      <c r="P65" s="727"/>
      <c r="Q65" s="727"/>
      <c r="R65" s="728"/>
      <c r="S65" s="44"/>
      <c r="T65" s="44">
        <f t="shared" si="11"/>
        <v>19</v>
      </c>
      <c r="U65" s="44"/>
    </row>
    <row r="66" spans="1:21" ht="14.25">
      <c r="A66" s="133"/>
      <c r="B66" s="165"/>
      <c r="C66" s="165"/>
      <c r="D66" s="613" t="s">
        <v>30</v>
      </c>
      <c r="E66" s="614"/>
      <c r="F66" s="615"/>
      <c r="G66" s="616">
        <f>SUM(G63:I65)</f>
        <v>0</v>
      </c>
      <c r="H66" s="617"/>
      <c r="I66" s="618"/>
      <c r="J66" s="613"/>
      <c r="K66" s="615"/>
      <c r="L66" s="619">
        <f>L21</f>
        <v>0</v>
      </c>
      <c r="M66" s="620"/>
      <c r="N66" s="621"/>
      <c r="O66" s="622"/>
      <c r="P66" s="622"/>
      <c r="Q66" s="622"/>
      <c r="R66" s="623"/>
      <c r="S66" s="44"/>
      <c r="T66" s="44">
        <f t="shared" si="11"/>
        <v>20</v>
      </c>
      <c r="U66" s="44"/>
    </row>
    <row r="67" spans="1:21" ht="14.25">
      <c r="A67" s="133"/>
      <c r="B67" s="165"/>
      <c r="C67" s="165"/>
      <c r="D67" s="165"/>
      <c r="E67" s="165"/>
      <c r="F67" s="165"/>
      <c r="G67" s="165"/>
      <c r="H67" s="165"/>
      <c r="I67" s="165"/>
      <c r="J67" s="165"/>
      <c r="K67" s="165"/>
      <c r="L67" s="165"/>
      <c r="M67" s="165"/>
      <c r="N67" s="165"/>
      <c r="O67" s="165"/>
      <c r="P67" s="165"/>
      <c r="Q67" s="165"/>
      <c r="R67" s="165"/>
      <c r="S67" s="44"/>
      <c r="T67" s="44">
        <f t="shared" si="11"/>
        <v>21</v>
      </c>
      <c r="U67" s="44"/>
    </row>
    <row r="68" spans="1:21" ht="14.25">
      <c r="A68" s="133"/>
      <c r="B68" s="165">
        <v>2</v>
      </c>
      <c r="C68" s="167" t="s">
        <v>44</v>
      </c>
      <c r="D68" s="165"/>
      <c r="E68" s="165"/>
      <c r="F68" s="165"/>
      <c r="G68" s="165"/>
      <c r="H68" s="165"/>
      <c r="I68" s="165"/>
      <c r="J68" s="165"/>
      <c r="K68" s="165"/>
      <c r="L68" s="165"/>
      <c r="M68" s="165"/>
      <c r="N68" s="165"/>
      <c r="O68" s="165"/>
      <c r="P68" s="165"/>
      <c r="Q68" s="165"/>
      <c r="R68" s="165"/>
      <c r="S68" s="44"/>
      <c r="T68" s="44">
        <f t="shared" si="11"/>
        <v>22</v>
      </c>
      <c r="U68" s="44"/>
    </row>
    <row r="69" spans="1:21" ht="14.25">
      <c r="A69" s="133"/>
      <c r="B69" s="165"/>
      <c r="C69" s="372" t="s">
        <v>775</v>
      </c>
      <c r="D69" s="165" t="s">
        <v>667</v>
      </c>
      <c r="E69" s="165"/>
      <c r="F69" s="165"/>
      <c r="G69" s="165"/>
      <c r="H69" s="165"/>
      <c r="I69" s="165"/>
      <c r="J69" s="151" t="s">
        <v>45</v>
      </c>
      <c r="K69" s="835">
        <f>K24</f>
        <v>0.9</v>
      </c>
      <c r="L69" s="835"/>
      <c r="M69" s="835"/>
      <c r="N69" s="165"/>
      <c r="O69" s="165"/>
      <c r="P69" s="166"/>
      <c r="Q69" s="165"/>
      <c r="R69" s="165"/>
      <c r="S69" s="44"/>
      <c r="T69" s="44">
        <f t="shared" si="11"/>
        <v>23</v>
      </c>
      <c r="U69" s="44"/>
    </row>
    <row r="70" spans="1:21" ht="14.25">
      <c r="A70" s="133"/>
      <c r="B70" s="165"/>
      <c r="C70" s="372" t="s">
        <v>776</v>
      </c>
      <c r="D70" s="167" t="s">
        <v>46</v>
      </c>
      <c r="E70" s="167"/>
      <c r="F70" s="167"/>
      <c r="G70" s="167"/>
      <c r="H70" s="167"/>
      <c r="I70" s="167"/>
      <c r="J70" s="152" t="s">
        <v>47</v>
      </c>
      <c r="K70" s="836">
        <f>K25</f>
        <v>0.02</v>
      </c>
      <c r="L70" s="836"/>
      <c r="M70" s="836"/>
      <c r="N70" s="167"/>
      <c r="O70" s="372"/>
      <c r="P70" s="372"/>
      <c r="Q70" s="372"/>
      <c r="R70" s="151"/>
      <c r="S70" s="44"/>
      <c r="T70" s="44">
        <f t="shared" si="11"/>
        <v>24</v>
      </c>
      <c r="U70" s="44"/>
    </row>
    <row r="71" spans="1:21" ht="14.25">
      <c r="A71" s="133"/>
      <c r="B71" s="165"/>
      <c r="C71" s="372" t="s">
        <v>777</v>
      </c>
      <c r="D71" s="167" t="s">
        <v>48</v>
      </c>
      <c r="E71" s="167"/>
      <c r="F71" s="167"/>
      <c r="G71" s="167"/>
      <c r="H71" s="167"/>
      <c r="I71" s="167"/>
      <c r="J71" s="152" t="s">
        <v>49</v>
      </c>
      <c r="K71" s="836" t="str">
        <f>K26</f>
        <v>1.0m未満</v>
      </c>
      <c r="L71" s="836"/>
      <c r="M71" s="836"/>
      <c r="N71" s="167"/>
      <c r="O71" s="151"/>
      <c r="P71" s="151"/>
      <c r="Q71" s="151"/>
      <c r="R71" s="151"/>
      <c r="S71" s="44"/>
      <c r="T71" s="44">
        <f t="shared" si="11"/>
        <v>25</v>
      </c>
      <c r="U71" s="44"/>
    </row>
    <row r="72" spans="1:21" ht="14.25">
      <c r="A72" s="133"/>
      <c r="B72" s="165"/>
      <c r="C72" s="372" t="s">
        <v>778</v>
      </c>
      <c r="D72" s="165" t="s">
        <v>668</v>
      </c>
      <c r="E72" s="165"/>
      <c r="F72" s="165"/>
      <c r="G72" s="165"/>
      <c r="H72" s="165"/>
      <c r="I72" s="151"/>
      <c r="J72" s="151"/>
      <c r="K72" s="835" t="str">
        <f>K27</f>
        <v>砕石</v>
      </c>
      <c r="L72" s="835"/>
      <c r="M72" s="835"/>
      <c r="N72" s="151"/>
      <c r="O72" s="152"/>
      <c r="P72" s="151"/>
      <c r="Q72" s="165"/>
      <c r="S72" s="44"/>
      <c r="T72" s="44">
        <f t="shared" si="11"/>
        <v>26</v>
      </c>
      <c r="U72" s="44"/>
    </row>
    <row r="73" spans="1:21" ht="14.25">
      <c r="A73" s="133"/>
      <c r="B73" s="165"/>
      <c r="C73" s="372" t="s">
        <v>779</v>
      </c>
      <c r="D73" s="167" t="s">
        <v>646</v>
      </c>
      <c r="E73" s="167"/>
      <c r="F73" s="167"/>
      <c r="G73" s="167"/>
      <c r="H73" s="167"/>
      <c r="I73" s="167"/>
      <c r="J73" s="372"/>
      <c r="K73" s="372"/>
      <c r="L73" s="372"/>
      <c r="M73" s="152"/>
      <c r="N73" s="152"/>
      <c r="O73" s="163"/>
      <c r="P73" s="163"/>
      <c r="Q73" s="152"/>
      <c r="R73" s="164"/>
      <c r="S73" s="44"/>
      <c r="T73" s="44">
        <f t="shared" si="11"/>
        <v>27</v>
      </c>
      <c r="U73" s="44"/>
    </row>
    <row r="74" spans="1:21" ht="14.25">
      <c r="A74" s="133"/>
      <c r="B74" s="165"/>
      <c r="C74" s="372"/>
      <c r="D74" s="793" t="s">
        <v>647</v>
      </c>
      <c r="E74" s="794"/>
      <c r="F74" s="794"/>
      <c r="G74" s="794"/>
      <c r="H74" s="795"/>
      <c r="I74" s="774" t="s">
        <v>648</v>
      </c>
      <c r="J74" s="774"/>
      <c r="K74" s="774" t="s">
        <v>669</v>
      </c>
      <c r="L74" s="774"/>
      <c r="M74" s="774" t="s">
        <v>670</v>
      </c>
      <c r="N74" s="774"/>
      <c r="O74" s="774" t="s">
        <v>650</v>
      </c>
      <c r="P74" s="774"/>
      <c r="Q74" s="152"/>
      <c r="R74" s="164"/>
      <c r="S74" s="44"/>
      <c r="T74" s="44">
        <f t="shared" si="11"/>
        <v>28</v>
      </c>
      <c r="U74" s="44"/>
    </row>
    <row r="75" spans="1:21" ht="14.25">
      <c r="A75" s="133"/>
      <c r="B75" s="165"/>
      <c r="C75" s="372"/>
      <c r="D75" s="796"/>
      <c r="E75" s="797"/>
      <c r="F75" s="797"/>
      <c r="G75" s="797"/>
      <c r="H75" s="798"/>
      <c r="I75" s="775" t="s">
        <v>651</v>
      </c>
      <c r="J75" s="775"/>
      <c r="K75" s="775" t="s">
        <v>295</v>
      </c>
      <c r="L75" s="775"/>
      <c r="M75" s="775" t="s">
        <v>671</v>
      </c>
      <c r="N75" s="775"/>
      <c r="O75" s="775" t="s">
        <v>653</v>
      </c>
      <c r="P75" s="775"/>
      <c r="Q75" s="152"/>
      <c r="R75" s="164"/>
      <c r="S75" s="44"/>
      <c r="T75" s="44">
        <f t="shared" si="11"/>
        <v>29</v>
      </c>
      <c r="U75" s="44"/>
    </row>
    <row r="76" spans="1:21" ht="14.25">
      <c r="A76" s="133"/>
      <c r="B76" s="165"/>
      <c r="C76" s="372"/>
      <c r="D76" s="820" t="str">
        <f>D31</f>
        <v>矩形ます(側面・底面浸透)</v>
      </c>
      <c r="E76" s="821"/>
      <c r="F76" s="821"/>
      <c r="G76" s="821"/>
      <c r="H76" s="822"/>
      <c r="I76" s="823">
        <f>I31</f>
        <v>0</v>
      </c>
      <c r="J76" s="823"/>
      <c r="K76" s="824">
        <f>K31</f>
        <v>0</v>
      </c>
      <c r="L76" s="824"/>
      <c r="M76" s="825">
        <f>M31</f>
        <v>0</v>
      </c>
      <c r="N76" s="825"/>
      <c r="O76" s="826">
        <f>O31</f>
        <v>1</v>
      </c>
      <c r="P76" s="826"/>
      <c r="Q76" s="152"/>
      <c r="R76" s="164"/>
      <c r="S76" s="44"/>
      <c r="T76" s="44">
        <f t="shared" si="11"/>
        <v>30</v>
      </c>
      <c r="U76" s="44"/>
    </row>
    <row r="77" spans="1:21" ht="14.25">
      <c r="A77" s="133"/>
      <c r="B77" s="165"/>
      <c r="C77" s="372" t="s">
        <v>780</v>
      </c>
      <c r="D77" s="165" t="s">
        <v>655</v>
      </c>
      <c r="E77" s="165"/>
      <c r="F77" s="165"/>
      <c r="G77" s="165"/>
      <c r="H77" s="165"/>
      <c r="I77" s="165"/>
      <c r="J77" s="753" t="str">
        <f>J32</f>
        <v>市道路排水施設</v>
      </c>
      <c r="K77" s="753"/>
      <c r="L77" s="753"/>
      <c r="M77" s="753"/>
      <c r="N77" s="753"/>
      <c r="O77" s="149">
        <f>O32</f>
        <v>0</v>
      </c>
      <c r="P77" s="165"/>
      <c r="Q77" s="165"/>
      <c r="R77" s="165"/>
      <c r="S77" s="44"/>
      <c r="T77" s="44">
        <f t="shared" si="11"/>
        <v>31</v>
      </c>
      <c r="U77" s="44"/>
    </row>
    <row r="78" spans="1:21" ht="14.25">
      <c r="A78" s="133"/>
      <c r="B78" s="165"/>
      <c r="C78" s="167"/>
      <c r="D78" s="165"/>
      <c r="E78" s="165"/>
      <c r="F78" s="165"/>
      <c r="G78" s="165"/>
      <c r="H78" s="165"/>
      <c r="I78" s="165"/>
      <c r="J78" s="165"/>
      <c r="K78" s="165"/>
      <c r="L78" s="165"/>
      <c r="M78" s="165"/>
      <c r="N78" s="165"/>
      <c r="O78" s="165"/>
      <c r="P78" s="165"/>
      <c r="Q78" s="165"/>
      <c r="R78" s="165"/>
      <c r="S78" s="44"/>
      <c r="T78" s="44">
        <f t="shared" si="11"/>
        <v>32</v>
      </c>
      <c r="U78" s="44"/>
    </row>
    <row r="79" spans="1:21" ht="14.25">
      <c r="A79" s="133"/>
      <c r="B79" s="165">
        <v>3</v>
      </c>
      <c r="C79" s="167" t="s">
        <v>61</v>
      </c>
      <c r="D79" s="165"/>
      <c r="E79" s="165"/>
      <c r="F79" s="165"/>
      <c r="G79" s="165"/>
      <c r="H79" s="165"/>
      <c r="I79" s="165"/>
      <c r="J79" s="165"/>
      <c r="K79" s="165"/>
      <c r="L79" s="165"/>
      <c r="M79" s="165"/>
      <c r="N79" s="165"/>
      <c r="O79" s="165"/>
      <c r="P79" s="165"/>
      <c r="Q79" s="165"/>
      <c r="R79" s="165"/>
      <c r="S79" s="44"/>
      <c r="T79" s="44">
        <f t="shared" si="11"/>
        <v>33</v>
      </c>
      <c r="U79" s="44"/>
    </row>
    <row r="80" spans="1:21" ht="14.25">
      <c r="A80" s="133"/>
      <c r="B80" s="165"/>
      <c r="C80" s="372" t="s">
        <v>781</v>
      </c>
      <c r="D80" s="165" t="s">
        <v>657</v>
      </c>
      <c r="E80" s="165"/>
      <c r="F80" s="165"/>
      <c r="G80" s="165"/>
      <c r="H80" s="165"/>
      <c r="I80" s="165"/>
      <c r="J80" s="152" t="s">
        <v>62</v>
      </c>
      <c r="K80" s="750">
        <f>K35</f>
        <v>0</v>
      </c>
      <c r="L80" s="750"/>
      <c r="M80" s="153" t="s">
        <v>63</v>
      </c>
      <c r="N80" s="165"/>
      <c r="O80" s="413" t="str">
        <f>O35</f>
        <v>※直放なしのため入力不要</v>
      </c>
      <c r="P80" s="327"/>
      <c r="Q80" s="327"/>
      <c r="R80" s="165"/>
      <c r="S80" s="44"/>
      <c r="T80" s="44">
        <f t="shared" si="11"/>
        <v>34</v>
      </c>
      <c r="U80" s="44"/>
    </row>
    <row r="81" spans="1:21" ht="14.25">
      <c r="A81" s="133"/>
      <c r="B81" s="165"/>
      <c r="C81" s="372" t="s">
        <v>782</v>
      </c>
      <c r="D81" s="165" t="s">
        <v>125</v>
      </c>
      <c r="E81" s="165"/>
      <c r="F81" s="165"/>
      <c r="G81" s="165"/>
      <c r="H81" s="165"/>
      <c r="I81" s="165"/>
      <c r="J81" s="138" t="s">
        <v>69</v>
      </c>
      <c r="K81" s="751">
        <f>K36</f>
        <v>2.5000000000000001E-2</v>
      </c>
      <c r="L81" s="751"/>
      <c r="M81" s="138" t="s">
        <v>70</v>
      </c>
      <c r="N81" s="165"/>
      <c r="O81" s="414" t="str">
        <f>O36</f>
        <v>※直放なしのため入力不要</v>
      </c>
      <c r="P81" s="327"/>
      <c r="Q81" s="327"/>
      <c r="R81" s="187"/>
      <c r="S81" s="44"/>
      <c r="T81" s="44">
        <f t="shared" si="11"/>
        <v>35</v>
      </c>
      <c r="U81" s="44"/>
    </row>
    <row r="82" spans="1:21" ht="14.25">
      <c r="A82" s="133"/>
      <c r="B82" s="165"/>
      <c r="C82" s="165"/>
      <c r="D82" s="165"/>
      <c r="E82" s="165"/>
      <c r="F82" s="165"/>
      <c r="G82" s="165"/>
      <c r="H82" s="165"/>
      <c r="I82" s="165"/>
      <c r="J82" s="165"/>
      <c r="K82" s="165"/>
      <c r="L82" s="165"/>
      <c r="M82" s="165"/>
      <c r="N82" s="165"/>
      <c r="O82" s="165"/>
      <c r="P82" s="165"/>
      <c r="Q82" s="165"/>
      <c r="R82" s="165"/>
      <c r="S82" s="44"/>
      <c r="T82" s="44">
        <f t="shared" si="11"/>
        <v>36</v>
      </c>
      <c r="U82" s="44"/>
    </row>
    <row r="83" spans="1:21" ht="14.25">
      <c r="A83" s="133"/>
      <c r="B83" s="139" t="s">
        <v>637</v>
      </c>
      <c r="C83" s="165"/>
      <c r="D83" s="165"/>
      <c r="E83" s="165"/>
      <c r="F83" s="165"/>
      <c r="G83" s="165"/>
      <c r="H83" s="165"/>
      <c r="I83" s="165"/>
      <c r="J83" s="165"/>
      <c r="K83" s="165"/>
      <c r="L83" s="165"/>
      <c r="M83" s="165"/>
      <c r="N83" s="165"/>
      <c r="O83" s="165"/>
      <c r="P83" s="165"/>
      <c r="Q83" s="165"/>
      <c r="R83" s="165"/>
      <c r="S83" s="44"/>
      <c r="T83" s="44">
        <f t="shared" si="11"/>
        <v>37</v>
      </c>
      <c r="U83" s="44"/>
    </row>
    <row r="84" spans="1:21" ht="14.25">
      <c r="A84" s="133"/>
      <c r="B84" s="104"/>
      <c r="C84" s="95"/>
      <c r="D84" s="96"/>
      <c r="E84" s="96"/>
      <c r="F84" s="96"/>
      <c r="G84" s="96"/>
      <c r="H84" s="426" t="s">
        <v>210</v>
      </c>
      <c r="I84" s="426"/>
      <c r="J84" s="424"/>
      <c r="K84" s="426" t="s">
        <v>211</v>
      </c>
      <c r="L84" s="426"/>
      <c r="M84" s="426"/>
      <c r="N84" s="425" t="s">
        <v>212</v>
      </c>
      <c r="O84" s="426"/>
      <c r="P84" s="426"/>
      <c r="Q84" s="451" t="s">
        <v>213</v>
      </c>
      <c r="R84" s="452"/>
      <c r="S84" s="44"/>
      <c r="T84" s="44">
        <f t="shared" si="11"/>
        <v>38</v>
      </c>
      <c r="U84" s="44"/>
    </row>
    <row r="85" spans="1:21" ht="14.25">
      <c r="A85" s="133"/>
      <c r="B85" s="104"/>
      <c r="C85" s="98"/>
      <c r="D85" s="99"/>
      <c r="E85" s="99"/>
      <c r="F85" s="99"/>
      <c r="G85" s="99"/>
      <c r="H85" s="451"/>
      <c r="I85" s="453"/>
      <c r="J85" s="453"/>
      <c r="K85" s="451"/>
      <c r="L85" s="453"/>
      <c r="M85" s="452"/>
      <c r="N85" s="451"/>
      <c r="O85" s="453"/>
      <c r="P85" s="452"/>
      <c r="Q85" s="451"/>
      <c r="R85" s="452"/>
      <c r="S85" s="44"/>
      <c r="T85" s="44">
        <f t="shared" si="11"/>
        <v>39</v>
      </c>
      <c r="U85" s="44"/>
    </row>
    <row r="86" spans="1:21" ht="14.25">
      <c r="A86" s="133"/>
      <c r="B86" s="104"/>
      <c r="C86" s="101" t="s">
        <v>662</v>
      </c>
      <c r="D86" s="70"/>
      <c r="E86" s="70"/>
      <c r="F86" s="70"/>
      <c r="G86" s="70"/>
      <c r="H86" s="466">
        <f>H41</f>
        <v>0</v>
      </c>
      <c r="I86" s="467"/>
      <c r="J86" s="467"/>
      <c r="K86" s="466" t="str">
        <f>K41</f>
        <v>-</v>
      </c>
      <c r="L86" s="467"/>
      <c r="M86" s="467"/>
      <c r="N86" s="466" t="str">
        <f>N41</f>
        <v/>
      </c>
      <c r="O86" s="467"/>
      <c r="P86" s="468"/>
      <c r="Q86" s="456" t="str">
        <f>Q41</f>
        <v>ＮＧ</v>
      </c>
      <c r="R86" s="457"/>
      <c r="S86" s="44"/>
      <c r="T86" s="44">
        <f t="shared" si="11"/>
        <v>40</v>
      </c>
      <c r="U86" s="44"/>
    </row>
    <row r="87" spans="1:21" ht="14.25">
      <c r="A87" s="133"/>
      <c r="B87" s="104"/>
      <c r="C87" s="98"/>
      <c r="D87" s="99"/>
      <c r="E87" s="99"/>
      <c r="F87" s="99"/>
      <c r="G87" s="99"/>
      <c r="H87" s="451"/>
      <c r="I87" s="453"/>
      <c r="J87" s="453"/>
      <c r="K87" s="473" t="str">
        <f>IF(M52=0,"","("&amp;ROUND(K88/($G$15/10000),0)&amp;" m3/ha)")</f>
        <v/>
      </c>
      <c r="L87" s="474"/>
      <c r="M87" s="475"/>
      <c r="N87" s="451"/>
      <c r="O87" s="453"/>
      <c r="P87" s="452"/>
      <c r="Q87" s="458"/>
      <c r="R87" s="460"/>
      <c r="S87" s="44"/>
      <c r="T87" s="44">
        <f t="shared" si="11"/>
        <v>41</v>
      </c>
      <c r="U87" s="44"/>
    </row>
    <row r="88" spans="1:21" ht="14.25">
      <c r="A88" s="133"/>
      <c r="B88" s="104"/>
      <c r="C88" s="101" t="s">
        <v>663</v>
      </c>
      <c r="D88" s="70"/>
      <c r="E88" s="70"/>
      <c r="F88" s="70"/>
      <c r="G88" s="70"/>
      <c r="H88" s="476" t="str">
        <f>H43</f>
        <v>-</v>
      </c>
      <c r="I88" s="477"/>
      <c r="J88" s="477"/>
      <c r="K88" s="476" t="e">
        <f>K43</f>
        <v>#VALUE!</v>
      </c>
      <c r="L88" s="477"/>
      <c r="M88" s="478"/>
      <c r="N88" s="476">
        <f>N43</f>
        <v>0</v>
      </c>
      <c r="O88" s="477"/>
      <c r="P88" s="478"/>
      <c r="Q88" s="456" t="e">
        <f>Q43</f>
        <v>#VALUE!</v>
      </c>
      <c r="R88" s="457"/>
      <c r="S88" s="44"/>
      <c r="T88" s="44">
        <f t="shared" si="11"/>
        <v>42</v>
      </c>
      <c r="U88" s="44"/>
    </row>
    <row r="89" spans="1:21" ht="14.25">
      <c r="A89" s="133"/>
      <c r="B89" s="44"/>
      <c r="C89" s="44"/>
      <c r="D89" s="44"/>
      <c r="E89" s="44"/>
      <c r="F89" s="44"/>
      <c r="G89" s="44"/>
      <c r="H89" s="44"/>
      <c r="I89" s="44"/>
      <c r="J89" s="44"/>
      <c r="K89" s="44"/>
      <c r="L89" s="44"/>
      <c r="M89" s="44"/>
      <c r="N89" s="44"/>
      <c r="O89" s="44"/>
      <c r="P89" s="44"/>
      <c r="Q89" s="44"/>
      <c r="R89" s="44"/>
      <c r="S89" s="44"/>
      <c r="T89" s="44">
        <f t="shared" si="11"/>
        <v>43</v>
      </c>
      <c r="U89" s="44"/>
    </row>
    <row r="90" spans="1:21" ht="14.25">
      <c r="A90" s="133"/>
      <c r="B90" s="44"/>
      <c r="C90" s="44"/>
      <c r="D90" s="44"/>
      <c r="E90" s="44"/>
      <c r="F90" s="44"/>
      <c r="G90" s="44"/>
      <c r="H90" s="44"/>
      <c r="I90" s="44"/>
      <c r="J90" s="44"/>
      <c r="K90" s="44"/>
      <c r="L90" s="44"/>
      <c r="M90" s="44"/>
      <c r="N90" s="44"/>
      <c r="O90" s="44"/>
      <c r="P90" s="44"/>
      <c r="Q90" s="44"/>
      <c r="R90" s="44"/>
      <c r="S90" s="44"/>
      <c r="T90" s="44">
        <f t="shared" si="11"/>
        <v>44</v>
      </c>
      <c r="U90" s="44"/>
    </row>
    <row r="91" spans="1:21" ht="14.25">
      <c r="A91" s="134" t="s">
        <v>96</v>
      </c>
      <c r="B91" s="30"/>
      <c r="C91" s="30"/>
      <c r="D91" s="30"/>
      <c r="E91" s="30"/>
      <c r="F91" s="30"/>
      <c r="G91" s="30"/>
      <c r="H91" s="30"/>
      <c r="I91" s="30"/>
      <c r="J91" s="30"/>
      <c r="K91" s="30"/>
      <c r="L91" s="30"/>
      <c r="M91" s="30"/>
      <c r="N91" s="30"/>
      <c r="O91" s="30"/>
      <c r="P91" s="30"/>
      <c r="Q91" s="30"/>
      <c r="R91" s="30"/>
      <c r="S91" s="30"/>
      <c r="T91" s="44">
        <v>1</v>
      </c>
      <c r="U91" s="44"/>
    </row>
    <row r="92" spans="1:21" ht="14.25">
      <c r="A92" s="30"/>
      <c r="B92" s="38" t="str">
        <f>"  　洪水の規模が年超過確率で "&amp;IF(AR58="年超過確率 1/50","1/50",IF(AR58="年超過確率 1/30","1/30",IF(AR58="年超過確率 1/10","1/10",IF(AR58="年超過確率 1/5(長期)","1/5(長期)",IF(AR58="年超過確率 1/5(短期)","1/5(短期)","")))))&amp;" 以下のすべての洪水について開発後における"</f>
        <v xml:space="preserve">  　洪水の規模が年超過確率で 1/10 以下のすべての洪水について開発後における</v>
      </c>
      <c r="C92" s="38"/>
      <c r="D92" s="38"/>
      <c r="E92" s="38"/>
      <c r="F92" s="30"/>
      <c r="G92" s="30"/>
      <c r="H92" s="30"/>
      <c r="I92" s="54"/>
      <c r="J92" s="54"/>
      <c r="K92" s="54"/>
      <c r="L92" s="38"/>
      <c r="M92" s="55"/>
      <c r="N92" s="44"/>
      <c r="O92" s="38"/>
      <c r="P92" s="38"/>
      <c r="Q92" s="38"/>
      <c r="R92" s="30"/>
      <c r="S92" s="30"/>
      <c r="T92" s="44">
        <f t="shared" si="11"/>
        <v>2</v>
      </c>
      <c r="U92" s="44"/>
    </row>
    <row r="93" spans="1:21" ht="14.25">
      <c r="A93" s="30"/>
      <c r="B93" s="38" t="s">
        <v>370</v>
      </c>
      <c r="C93" s="38"/>
      <c r="D93" s="38"/>
      <c r="E93" s="38"/>
      <c r="F93" s="30"/>
      <c r="G93" s="30"/>
      <c r="H93" s="30"/>
      <c r="I93" s="30"/>
      <c r="J93" s="30"/>
      <c r="K93" s="30"/>
      <c r="L93" s="30"/>
      <c r="M93" s="30"/>
      <c r="N93" s="30"/>
      <c r="O93" s="30"/>
      <c r="P93" s="30"/>
      <c r="Q93" s="30"/>
      <c r="R93" s="30"/>
      <c r="S93" s="30"/>
      <c r="T93" s="44">
        <f t="shared" si="11"/>
        <v>3</v>
      </c>
      <c r="U93" s="44"/>
    </row>
    <row r="94" spans="1:21" ht="14.25">
      <c r="A94" s="30"/>
      <c r="B94" s="38" t="str">
        <f>"  　抑制施設の容量は、 "&amp;IF(AR58="年超過確率 1/50","1/50",IF(AR58="年超過確率 1/30","1/30",IF(AR58="年超過確率 1/10","1/10",IF(AR58="年超過確率 1/5(長期)","1/5(長期)",IF(AR58="年超過確率 1/5(短期)","1/5(短期)","")))))&amp;" 確率降雨強度曲線を用いて求める次式の必要洪水調整"</f>
        <v xml:space="preserve">  　抑制施設の容量は、 1/10 確率降雨強度曲線を用いて求める次式の必要洪水調整</v>
      </c>
      <c r="C94" s="38"/>
      <c r="D94" s="38"/>
      <c r="E94" s="38"/>
      <c r="F94" s="30"/>
      <c r="G94" s="30"/>
      <c r="H94" s="30"/>
      <c r="I94" s="54"/>
      <c r="J94" s="54"/>
      <c r="K94" s="54"/>
      <c r="L94" s="38"/>
      <c r="M94" s="55"/>
      <c r="N94" s="44"/>
      <c r="O94" s="38"/>
      <c r="P94" s="38"/>
      <c r="Q94" s="38"/>
      <c r="R94" s="30"/>
      <c r="S94" s="30"/>
      <c r="T94" s="44">
        <f t="shared" si="11"/>
        <v>4</v>
      </c>
      <c r="U94" s="44"/>
    </row>
    <row r="95" spans="1:21" ht="14.25">
      <c r="A95" s="30"/>
      <c r="B95" s="38" t="s">
        <v>470</v>
      </c>
      <c r="C95" s="38"/>
      <c r="D95" s="38"/>
      <c r="E95" s="38"/>
      <c r="F95" s="30"/>
      <c r="G95" s="30"/>
      <c r="H95" s="30"/>
      <c r="I95" s="30"/>
      <c r="J95" s="30"/>
      <c r="K95" s="30"/>
      <c r="L95" s="30"/>
      <c r="M95" s="30"/>
      <c r="N95" s="30"/>
      <c r="O95" s="30"/>
      <c r="P95" s="30"/>
      <c r="Q95" s="30"/>
      <c r="R95" s="30"/>
      <c r="S95" s="30"/>
      <c r="T95" s="44">
        <f t="shared" si="11"/>
        <v>5</v>
      </c>
      <c r="U95" s="44"/>
    </row>
    <row r="96" spans="1:21" ht="14.25">
      <c r="A96" s="30"/>
      <c r="B96" s="356"/>
      <c r="C96" s="356"/>
      <c r="D96" s="356"/>
      <c r="E96" s="356"/>
      <c r="F96" s="356"/>
      <c r="G96" s="31"/>
      <c r="H96" s="346"/>
      <c r="I96" s="31"/>
      <c r="J96" s="31"/>
      <c r="K96" s="31"/>
      <c r="L96" s="31"/>
      <c r="M96" s="31"/>
      <c r="N96" s="31"/>
      <c r="O96" s="31"/>
      <c r="P96" s="346"/>
      <c r="Q96" s="31"/>
      <c r="R96" s="30"/>
      <c r="S96" s="30"/>
      <c r="T96" s="44">
        <f t="shared" si="11"/>
        <v>6</v>
      </c>
      <c r="U96" s="44"/>
    </row>
    <row r="97" spans="1:21" ht="14.25">
      <c r="A97" s="30"/>
      <c r="B97" s="356"/>
      <c r="C97" s="356"/>
      <c r="D97" s="356"/>
      <c r="E97" s="356"/>
      <c r="F97" s="356"/>
      <c r="G97" s="31"/>
      <c r="H97" s="346"/>
      <c r="I97" s="31"/>
      <c r="J97" s="31"/>
      <c r="K97" s="31"/>
      <c r="L97" s="31"/>
      <c r="M97" s="31"/>
      <c r="N97" s="31"/>
      <c r="O97" s="31"/>
      <c r="P97" s="346"/>
      <c r="Q97" s="31"/>
      <c r="R97" s="30"/>
      <c r="S97" s="30"/>
      <c r="T97" s="44">
        <f t="shared" si="11"/>
        <v>7</v>
      </c>
      <c r="U97" s="44"/>
    </row>
    <row r="98" spans="1:21" ht="14.25">
      <c r="A98" s="30"/>
      <c r="B98" s="356"/>
      <c r="C98" s="356"/>
      <c r="D98" s="356"/>
      <c r="E98" s="356"/>
      <c r="F98" s="356"/>
      <c r="G98" s="31"/>
      <c r="H98" s="346"/>
      <c r="I98" s="31"/>
      <c r="J98" s="31"/>
      <c r="K98" s="31"/>
      <c r="L98" s="31"/>
      <c r="M98" s="31"/>
      <c r="N98" s="31"/>
      <c r="O98" s="31"/>
      <c r="P98" s="346"/>
      <c r="Q98" s="56"/>
      <c r="R98" s="30"/>
      <c r="S98" s="30"/>
      <c r="T98" s="44">
        <f t="shared" si="11"/>
        <v>8</v>
      </c>
      <c r="U98" s="44"/>
    </row>
    <row r="99" spans="1:21" ht="14.25">
      <c r="A99" s="30"/>
      <c r="B99" s="356"/>
      <c r="C99" s="356"/>
      <c r="D99" s="356"/>
      <c r="E99" s="356"/>
      <c r="F99" s="356"/>
      <c r="G99" s="31"/>
      <c r="H99" s="346"/>
      <c r="I99" s="31"/>
      <c r="J99" s="31"/>
      <c r="K99" s="31"/>
      <c r="L99" s="31"/>
      <c r="M99" s="31"/>
      <c r="N99" s="31"/>
      <c r="O99" s="31"/>
      <c r="P99" s="346"/>
      <c r="Q99" s="56"/>
      <c r="R99" s="30"/>
      <c r="S99" s="30"/>
      <c r="T99" s="44">
        <f t="shared" si="11"/>
        <v>9</v>
      </c>
      <c r="U99" s="44"/>
    </row>
    <row r="100" spans="1:21" ht="14.25">
      <c r="A100" s="30"/>
      <c r="B100" s="44"/>
      <c r="C100" s="44" t="s">
        <v>100</v>
      </c>
      <c r="D100" s="46"/>
      <c r="E100" s="47" t="s">
        <v>446</v>
      </c>
      <c r="F100" s="48" t="s">
        <v>102</v>
      </c>
      <c r="G100" s="30" t="s">
        <v>447</v>
      </c>
      <c r="H100" s="30"/>
      <c r="I100" s="30"/>
      <c r="J100" s="30"/>
      <c r="K100" s="30"/>
      <c r="L100" s="30"/>
      <c r="M100" s="30"/>
      <c r="N100" s="30"/>
      <c r="O100" s="30"/>
      <c r="P100" s="30"/>
      <c r="Q100" s="30"/>
      <c r="R100" s="30"/>
      <c r="S100" s="30"/>
      <c r="T100" s="44">
        <f>T99+1</f>
        <v>10</v>
      </c>
      <c r="U100" s="44"/>
    </row>
    <row r="101" spans="1:21" ht="14.25">
      <c r="A101" s="30"/>
      <c r="B101" s="44"/>
      <c r="C101" s="44"/>
      <c r="D101" s="46"/>
      <c r="E101" s="47" t="s">
        <v>83</v>
      </c>
      <c r="F101" s="48" t="s">
        <v>102</v>
      </c>
      <c r="G101" s="54" t="str">
        <f>IF(AR58="年超過確率 1/50","1/50",IF(AR58="年超過確率 1/30","1/30",IF(AR58="年超過確率 1/10","1/10",IF(AR58="年超過確率 1/5(長期)","1/5(長期)",IF(AR58="年超過確率 1/5(短期)","1/5(短期)","")))))&amp;" 年確率降雨強度曲線上の任意の継続時間（ti）"</f>
        <v>1/10 年確率降雨強度曲線上の任意の継続時間（ti）</v>
      </c>
      <c r="H101" s="54"/>
      <c r="I101" s="38"/>
      <c r="K101" s="38"/>
      <c r="L101" s="38"/>
      <c r="M101" s="38"/>
      <c r="N101" s="30"/>
      <c r="O101" s="30"/>
      <c r="P101" s="30"/>
      <c r="Q101" s="30"/>
      <c r="R101" s="30"/>
      <c r="S101" s="30"/>
      <c r="T101" s="44">
        <f t="shared" si="11"/>
        <v>11</v>
      </c>
      <c r="U101" s="44"/>
    </row>
    <row r="102" spans="1:21" ht="14.25">
      <c r="A102" s="30"/>
      <c r="B102" s="44"/>
      <c r="C102" s="44"/>
      <c r="D102" s="49"/>
      <c r="E102" s="50"/>
      <c r="F102" s="48"/>
      <c r="G102" s="38" t="s">
        <v>103</v>
      </c>
      <c r="H102" s="38"/>
      <c r="I102" s="30"/>
      <c r="J102" s="30"/>
      <c r="K102" s="30"/>
      <c r="L102" s="30"/>
      <c r="M102" s="30"/>
      <c r="N102" s="30"/>
      <c r="O102" s="30"/>
      <c r="P102" s="30"/>
      <c r="Q102" s="30"/>
      <c r="R102" s="30"/>
      <c r="S102" s="30"/>
      <c r="T102" s="44">
        <f t="shared" si="11"/>
        <v>12</v>
      </c>
      <c r="U102" s="44"/>
    </row>
    <row r="103" spans="1:21" ht="14.25">
      <c r="A103" s="30"/>
      <c r="B103" s="44"/>
      <c r="C103" s="44"/>
      <c r="D103" s="46"/>
      <c r="E103" s="47" t="s">
        <v>98</v>
      </c>
      <c r="F103" s="48" t="s">
        <v>102</v>
      </c>
      <c r="G103" s="30" t="s">
        <v>739</v>
      </c>
      <c r="H103" s="30"/>
      <c r="I103" s="30"/>
      <c r="J103" s="30"/>
      <c r="K103" s="30"/>
      <c r="L103" s="30"/>
      <c r="M103" s="30"/>
      <c r="N103" s="30"/>
      <c r="O103" s="30"/>
      <c r="P103" s="44"/>
      <c r="Q103" s="30"/>
      <c r="R103" s="30"/>
      <c r="S103" s="30"/>
      <c r="T103" s="44">
        <f t="shared" si="11"/>
        <v>13</v>
      </c>
      <c r="U103" s="44"/>
    </row>
    <row r="104" spans="1:21" ht="16.5">
      <c r="A104" s="30"/>
      <c r="B104" s="30"/>
      <c r="C104" s="30"/>
      <c r="D104" s="30"/>
      <c r="E104" s="47" t="s">
        <v>104</v>
      </c>
      <c r="F104" s="48" t="s">
        <v>102</v>
      </c>
      <c r="G104" s="30" t="s">
        <v>509</v>
      </c>
      <c r="H104" s="30"/>
      <c r="I104" s="30"/>
      <c r="J104" s="30"/>
      <c r="K104" s="30"/>
      <c r="L104" s="44"/>
      <c r="M104" s="30"/>
      <c r="N104" s="30"/>
      <c r="O104" s="30"/>
      <c r="P104" s="30"/>
      <c r="Q104" s="30"/>
      <c r="R104" s="30"/>
      <c r="S104" s="30"/>
      <c r="T104" s="44">
        <f t="shared" si="11"/>
        <v>14</v>
      </c>
      <c r="U104" s="44"/>
    </row>
    <row r="105" spans="1:21" ht="14.25">
      <c r="A105" s="30"/>
      <c r="B105" s="30"/>
      <c r="C105" s="30"/>
      <c r="D105" s="30"/>
      <c r="E105" s="47" t="s">
        <v>99</v>
      </c>
      <c r="F105" s="48" t="s">
        <v>102</v>
      </c>
      <c r="G105" s="51" t="s">
        <v>740</v>
      </c>
      <c r="H105" s="51"/>
      <c r="I105" s="51"/>
      <c r="J105" s="30"/>
      <c r="K105" s="30"/>
      <c r="L105" s="30"/>
      <c r="M105" s="30"/>
      <c r="N105" s="30"/>
      <c r="O105" s="30"/>
      <c r="P105" s="30"/>
      <c r="Q105" s="30"/>
      <c r="R105" s="30"/>
      <c r="S105" s="30"/>
      <c r="T105" s="44">
        <f t="shared" si="11"/>
        <v>15</v>
      </c>
      <c r="U105" s="44"/>
    </row>
    <row r="106" spans="1:21" ht="16.5">
      <c r="A106" s="30"/>
      <c r="B106" s="30"/>
      <c r="C106" s="30"/>
      <c r="D106" s="30"/>
      <c r="E106" s="47" t="s">
        <v>105</v>
      </c>
      <c r="F106" s="48" t="s">
        <v>102</v>
      </c>
      <c r="G106" s="30" t="s">
        <v>106</v>
      </c>
      <c r="H106" s="30"/>
      <c r="I106" s="30"/>
      <c r="J106" s="30"/>
      <c r="K106" s="30"/>
      <c r="L106" s="44"/>
      <c r="M106" s="30"/>
      <c r="N106" s="30"/>
      <c r="O106" s="30"/>
      <c r="P106" s="30"/>
      <c r="Q106" s="30"/>
      <c r="R106" s="30"/>
      <c r="S106" s="30"/>
      <c r="T106" s="44">
        <f t="shared" si="11"/>
        <v>16</v>
      </c>
      <c r="U106" s="44"/>
    </row>
    <row r="107" spans="1:21" ht="14.25">
      <c r="A107" s="30"/>
      <c r="B107" s="44"/>
      <c r="C107" s="44"/>
      <c r="D107" s="46"/>
      <c r="E107" s="47" t="s">
        <v>84</v>
      </c>
      <c r="F107" s="48" t="s">
        <v>102</v>
      </c>
      <c r="G107" s="30" t="s">
        <v>510</v>
      </c>
      <c r="H107" s="30"/>
      <c r="I107" s="30"/>
      <c r="J107" s="30"/>
      <c r="K107" s="30"/>
      <c r="L107" s="30"/>
      <c r="M107" s="30"/>
      <c r="N107" s="30"/>
      <c r="O107" s="30"/>
      <c r="P107" s="30"/>
      <c r="Q107" s="30"/>
      <c r="R107" s="30"/>
      <c r="S107" s="30"/>
      <c r="T107" s="44">
        <f t="shared" si="11"/>
        <v>17</v>
      </c>
      <c r="U107" s="44"/>
    </row>
    <row r="108" spans="1:21" ht="14.25">
      <c r="A108" s="30"/>
      <c r="B108" s="44"/>
      <c r="C108" s="44"/>
      <c r="D108" s="46"/>
      <c r="E108" s="47" t="s">
        <v>107</v>
      </c>
      <c r="F108" s="48" t="s">
        <v>102</v>
      </c>
      <c r="G108" s="30" t="s">
        <v>108</v>
      </c>
      <c r="H108" s="30"/>
      <c r="I108" s="30"/>
      <c r="J108" s="30"/>
      <c r="K108" s="30"/>
      <c r="L108" s="30"/>
      <c r="M108" s="30"/>
      <c r="N108" s="30"/>
      <c r="O108" s="30"/>
      <c r="P108" s="30"/>
      <c r="Q108" s="30"/>
      <c r="R108" s="30"/>
      <c r="S108" s="30"/>
      <c r="T108" s="44">
        <f t="shared" si="11"/>
        <v>18</v>
      </c>
      <c r="U108" s="44"/>
    </row>
    <row r="109" spans="1:21" ht="14.25">
      <c r="A109" s="30"/>
      <c r="B109" s="44"/>
      <c r="C109" s="44"/>
      <c r="D109" s="46"/>
      <c r="E109" s="47" t="s">
        <v>77</v>
      </c>
      <c r="F109" s="48" t="s">
        <v>102</v>
      </c>
      <c r="G109" s="30" t="s">
        <v>109</v>
      </c>
      <c r="H109" s="30"/>
      <c r="I109" s="30"/>
      <c r="J109" s="30"/>
      <c r="K109" s="30"/>
      <c r="L109" s="30"/>
      <c r="M109" s="30"/>
      <c r="N109" s="30"/>
      <c r="O109" s="30"/>
      <c r="P109" s="30"/>
      <c r="Q109" s="30"/>
      <c r="R109" s="30"/>
      <c r="S109" s="30"/>
      <c r="T109" s="44">
        <f t="shared" si="11"/>
        <v>19</v>
      </c>
      <c r="U109" s="44"/>
    </row>
    <row r="110" spans="1:21" ht="14.25">
      <c r="A110" s="30"/>
      <c r="B110" s="348"/>
      <c r="C110" s="348"/>
      <c r="D110" s="348"/>
      <c r="E110" s="348"/>
      <c r="F110" s="348"/>
      <c r="G110" s="347"/>
      <c r="H110" s="282"/>
      <c r="I110" s="432"/>
      <c r="J110" s="432"/>
      <c r="K110" s="432"/>
      <c r="L110" s="432"/>
      <c r="M110" s="432"/>
      <c r="N110" s="432"/>
      <c r="O110" s="432"/>
      <c r="P110" s="282"/>
      <c r="Q110" s="283"/>
      <c r="R110" s="30"/>
      <c r="S110" s="30"/>
      <c r="T110" s="44">
        <f t="shared" si="11"/>
        <v>20</v>
      </c>
      <c r="U110" s="44"/>
    </row>
    <row r="111" spans="1:21" ht="14.25">
      <c r="A111" s="30"/>
      <c r="B111" s="348"/>
      <c r="C111" s="348"/>
      <c r="D111" s="348"/>
      <c r="E111" s="348"/>
      <c r="F111" s="348"/>
      <c r="G111" s="347"/>
      <c r="H111" s="282"/>
      <c r="I111" s="432"/>
      <c r="J111" s="432"/>
      <c r="K111" s="432"/>
      <c r="L111" s="432"/>
      <c r="M111" s="432"/>
      <c r="N111" s="432"/>
      <c r="O111" s="432"/>
      <c r="P111" s="282"/>
      <c r="Q111" s="283"/>
      <c r="R111" s="30"/>
      <c r="S111" s="30"/>
      <c r="T111" s="44">
        <f t="shared" si="11"/>
        <v>21</v>
      </c>
      <c r="U111" s="44"/>
    </row>
    <row r="112" spans="1:21" ht="14.25">
      <c r="A112" s="30"/>
      <c r="B112" s="44"/>
      <c r="C112" s="44" t="s">
        <v>100</v>
      </c>
      <c r="D112" s="46"/>
      <c r="E112" s="47" t="s">
        <v>448</v>
      </c>
      <c r="F112" s="281" t="s">
        <v>102</v>
      </c>
      <c r="G112" s="30" t="s">
        <v>451</v>
      </c>
      <c r="H112" s="30"/>
      <c r="I112" s="30"/>
      <c r="J112" s="30"/>
      <c r="K112" s="30"/>
      <c r="L112" s="30"/>
      <c r="M112" s="30"/>
      <c r="N112" s="30"/>
      <c r="O112" s="30"/>
      <c r="P112" s="30"/>
      <c r="Q112" s="30"/>
      <c r="R112" s="30"/>
      <c r="S112" s="30"/>
      <c r="T112" s="44">
        <f>T111+1</f>
        <v>22</v>
      </c>
      <c r="U112" s="44"/>
    </row>
    <row r="113" spans="1:21" ht="14.25">
      <c r="A113" s="30"/>
      <c r="B113" s="44"/>
      <c r="C113" s="44"/>
      <c r="D113" s="46"/>
      <c r="E113" s="47" t="s">
        <v>449</v>
      </c>
      <c r="F113" s="281" t="s">
        <v>102</v>
      </c>
      <c r="G113" s="30" t="s">
        <v>452</v>
      </c>
      <c r="H113" s="30"/>
      <c r="I113" s="30"/>
      <c r="J113" s="30"/>
      <c r="K113" s="555">
        <f>AS55</f>
        <v>15</v>
      </c>
      <c r="L113" s="555"/>
      <c r="M113" s="30" t="s">
        <v>198</v>
      </c>
      <c r="N113" s="30"/>
      <c r="O113" s="91" t="s">
        <v>91</v>
      </c>
      <c r="P113" s="30"/>
      <c r="Q113" s="30"/>
      <c r="R113" s="120"/>
      <c r="S113" s="30"/>
      <c r="T113" s="44">
        <f t="shared" si="11"/>
        <v>23</v>
      </c>
      <c r="U113" s="44"/>
    </row>
    <row r="114" spans="1:21" ht="14.25">
      <c r="A114" s="30"/>
      <c r="B114" s="44"/>
      <c r="C114" s="44"/>
      <c r="D114" s="46"/>
      <c r="E114" s="47"/>
      <c r="F114" s="48"/>
      <c r="G114" s="30"/>
      <c r="H114" s="30"/>
      <c r="I114" s="30"/>
      <c r="J114" s="30"/>
      <c r="K114" s="30"/>
      <c r="L114" s="30"/>
      <c r="M114" s="30"/>
      <c r="N114" s="30"/>
      <c r="O114" s="30"/>
      <c r="P114" s="30"/>
      <c r="Q114" s="30"/>
      <c r="R114" s="30"/>
      <c r="S114" s="30"/>
      <c r="T114" s="44">
        <f t="shared" si="11"/>
        <v>24</v>
      </c>
      <c r="U114" s="44"/>
    </row>
    <row r="115" spans="1:21" ht="14.25">
      <c r="A115" s="134" t="s">
        <v>390</v>
      </c>
      <c r="B115" s="30"/>
      <c r="C115" s="30"/>
      <c r="D115" s="30"/>
      <c r="E115" s="30"/>
      <c r="F115" s="30"/>
      <c r="G115" s="30"/>
      <c r="H115" s="30"/>
      <c r="I115" s="30"/>
      <c r="J115" s="30"/>
      <c r="K115" s="30"/>
      <c r="L115" s="30"/>
      <c r="M115" s="30"/>
      <c r="N115" s="30"/>
      <c r="O115" s="30"/>
      <c r="P115" s="30"/>
      <c r="Q115" s="30"/>
      <c r="R115" s="30"/>
      <c r="S115" s="30"/>
      <c r="T115" s="44">
        <f t="shared" si="11"/>
        <v>25</v>
      </c>
      <c r="U115" s="44"/>
    </row>
    <row r="116" spans="1:21" ht="14.25">
      <c r="A116" s="30"/>
      <c r="B116" s="30"/>
      <c r="C116" s="50" t="s">
        <v>110</v>
      </c>
      <c r="D116" s="52"/>
      <c r="E116" s="30"/>
      <c r="F116" s="30"/>
      <c r="G116" s="30"/>
      <c r="H116" s="30"/>
      <c r="I116" s="30"/>
      <c r="J116" s="30"/>
      <c r="K116" s="30"/>
      <c r="L116" s="30"/>
      <c r="M116" s="30"/>
      <c r="N116" s="30"/>
      <c r="O116" s="30"/>
      <c r="P116" s="30"/>
      <c r="Q116" s="30"/>
      <c r="R116" s="30"/>
      <c r="S116" s="30"/>
      <c r="T116" s="44">
        <f t="shared" si="11"/>
        <v>26</v>
      </c>
      <c r="U116" s="44"/>
    </row>
    <row r="117" spans="1:21" ht="14.25">
      <c r="A117" s="30"/>
      <c r="B117" s="36"/>
      <c r="C117" s="549" t="s">
        <v>111</v>
      </c>
      <c r="D117" s="550"/>
      <c r="E117" s="550"/>
      <c r="F117" s="550"/>
      <c r="G117" s="550"/>
      <c r="H117" s="549" t="s">
        <v>112</v>
      </c>
      <c r="I117" s="549"/>
      <c r="J117" s="549"/>
      <c r="K117" s="550" t="s">
        <v>113</v>
      </c>
      <c r="L117" s="550"/>
      <c r="M117" s="550"/>
      <c r="N117" s="426" t="s">
        <v>27</v>
      </c>
      <c r="O117" s="426"/>
      <c r="P117" s="426"/>
      <c r="Q117" s="426"/>
      <c r="R117" s="426"/>
      <c r="S117" s="38"/>
      <c r="T117" s="44">
        <f t="shared" si="11"/>
        <v>27</v>
      </c>
      <c r="U117" s="44"/>
    </row>
    <row r="118" spans="1:21" ht="14.25">
      <c r="A118" s="30"/>
      <c r="B118" s="36"/>
      <c r="C118" s="488">
        <f t="shared" ref="C118:C123" si="17">D9</f>
        <v>0</v>
      </c>
      <c r="D118" s="488"/>
      <c r="E118" s="488"/>
      <c r="F118" s="489">
        <f t="shared" ref="F118:F123" si="18">G9/10000</f>
        <v>0</v>
      </c>
      <c r="G118" s="489"/>
      <c r="H118" s="490" t="str">
        <f t="shared" ref="H118:H123" si="19">J9</f>
        <v/>
      </c>
      <c r="I118" s="491"/>
      <c r="J118" s="492"/>
      <c r="K118" s="554">
        <f t="shared" ref="K118:K123" si="20">IF(L9="",0,L9/10000)</f>
        <v>0</v>
      </c>
      <c r="L118" s="554"/>
      <c r="M118" s="554"/>
      <c r="N118" s="547">
        <f t="shared" ref="N118:N123" si="21">N9</f>
        <v>0</v>
      </c>
      <c r="O118" s="547"/>
      <c r="P118" s="547"/>
      <c r="Q118" s="547"/>
      <c r="R118" s="547"/>
      <c r="S118" s="61"/>
      <c r="T118" s="44">
        <f t="shared" si="11"/>
        <v>28</v>
      </c>
      <c r="U118" s="44"/>
    </row>
    <row r="119" spans="1:21" ht="14.25" customHeight="1">
      <c r="A119" s="30"/>
      <c r="B119" s="36"/>
      <c r="C119" s="538">
        <f t="shared" si="17"/>
        <v>0</v>
      </c>
      <c r="D119" s="538"/>
      <c r="E119" s="538"/>
      <c r="F119" s="539">
        <f t="shared" si="18"/>
        <v>0</v>
      </c>
      <c r="G119" s="539"/>
      <c r="H119" s="540" t="str">
        <f t="shared" si="19"/>
        <v/>
      </c>
      <c r="I119" s="469"/>
      <c r="J119" s="541"/>
      <c r="K119" s="553">
        <f t="shared" si="20"/>
        <v>0</v>
      </c>
      <c r="L119" s="553"/>
      <c r="M119" s="553"/>
      <c r="N119" s="543">
        <f t="shared" si="21"/>
        <v>0</v>
      </c>
      <c r="O119" s="543"/>
      <c r="P119" s="543"/>
      <c r="Q119" s="543"/>
      <c r="R119" s="543"/>
      <c r="S119" s="61"/>
      <c r="T119" s="44">
        <f t="shared" si="11"/>
        <v>29</v>
      </c>
      <c r="U119" s="44"/>
    </row>
    <row r="120" spans="1:21" ht="14.25">
      <c r="A120" s="30"/>
      <c r="B120" s="36"/>
      <c r="C120" s="538">
        <f t="shared" si="17"/>
        <v>0</v>
      </c>
      <c r="D120" s="538"/>
      <c r="E120" s="538"/>
      <c r="F120" s="539">
        <f t="shared" si="18"/>
        <v>0</v>
      </c>
      <c r="G120" s="539"/>
      <c r="H120" s="540" t="str">
        <f t="shared" si="19"/>
        <v/>
      </c>
      <c r="I120" s="469"/>
      <c r="J120" s="541"/>
      <c r="K120" s="553">
        <f t="shared" si="20"/>
        <v>0</v>
      </c>
      <c r="L120" s="553"/>
      <c r="M120" s="553"/>
      <c r="N120" s="543">
        <f t="shared" si="21"/>
        <v>0</v>
      </c>
      <c r="O120" s="543"/>
      <c r="P120" s="543"/>
      <c r="Q120" s="543"/>
      <c r="R120" s="543"/>
      <c r="S120" s="61"/>
      <c r="T120" s="44">
        <f t="shared" si="11"/>
        <v>30</v>
      </c>
      <c r="U120" s="44"/>
    </row>
    <row r="121" spans="1:21" ht="14.25">
      <c r="A121" s="30"/>
      <c r="B121" s="36"/>
      <c r="C121" s="538">
        <f t="shared" si="17"/>
        <v>0</v>
      </c>
      <c r="D121" s="538"/>
      <c r="E121" s="538"/>
      <c r="F121" s="539">
        <f t="shared" si="18"/>
        <v>0</v>
      </c>
      <c r="G121" s="539"/>
      <c r="H121" s="540" t="str">
        <f t="shared" si="19"/>
        <v/>
      </c>
      <c r="I121" s="469"/>
      <c r="J121" s="541"/>
      <c r="K121" s="553">
        <f t="shared" si="20"/>
        <v>0</v>
      </c>
      <c r="L121" s="553"/>
      <c r="M121" s="553"/>
      <c r="N121" s="543">
        <f t="shared" si="21"/>
        <v>0</v>
      </c>
      <c r="O121" s="543"/>
      <c r="P121" s="543"/>
      <c r="Q121" s="543"/>
      <c r="R121" s="543"/>
      <c r="S121" s="61"/>
      <c r="T121" s="44">
        <f t="shared" si="11"/>
        <v>31</v>
      </c>
      <c r="U121" s="44"/>
    </row>
    <row r="122" spans="1:21" ht="14.25">
      <c r="A122" s="30"/>
      <c r="B122" s="36"/>
      <c r="C122" s="538">
        <f t="shared" si="17"/>
        <v>0</v>
      </c>
      <c r="D122" s="538"/>
      <c r="E122" s="538"/>
      <c r="F122" s="539">
        <f t="shared" si="18"/>
        <v>0</v>
      </c>
      <c r="G122" s="539"/>
      <c r="H122" s="540" t="str">
        <f t="shared" si="19"/>
        <v/>
      </c>
      <c r="I122" s="469"/>
      <c r="J122" s="541"/>
      <c r="K122" s="553">
        <f t="shared" si="20"/>
        <v>0</v>
      </c>
      <c r="L122" s="553"/>
      <c r="M122" s="553"/>
      <c r="N122" s="543">
        <f t="shared" si="21"/>
        <v>0</v>
      </c>
      <c r="O122" s="543"/>
      <c r="P122" s="543"/>
      <c r="Q122" s="543"/>
      <c r="R122" s="543"/>
      <c r="S122" s="61"/>
      <c r="T122" s="44">
        <f t="shared" si="11"/>
        <v>32</v>
      </c>
      <c r="U122" s="44"/>
    </row>
    <row r="123" spans="1:21" ht="14.25">
      <c r="A123" s="30"/>
      <c r="B123" s="36"/>
      <c r="C123" s="538">
        <f t="shared" si="17"/>
        <v>0</v>
      </c>
      <c r="D123" s="538"/>
      <c r="E123" s="538"/>
      <c r="F123" s="539">
        <f t="shared" si="18"/>
        <v>0</v>
      </c>
      <c r="G123" s="539"/>
      <c r="H123" s="540" t="str">
        <f t="shared" si="19"/>
        <v/>
      </c>
      <c r="I123" s="469"/>
      <c r="J123" s="541"/>
      <c r="K123" s="553">
        <f t="shared" si="20"/>
        <v>0</v>
      </c>
      <c r="L123" s="553"/>
      <c r="M123" s="553"/>
      <c r="N123" s="543">
        <f t="shared" si="21"/>
        <v>0</v>
      </c>
      <c r="O123" s="543"/>
      <c r="P123" s="543"/>
      <c r="Q123" s="543"/>
      <c r="R123" s="543"/>
      <c r="S123" s="61"/>
      <c r="T123" s="44">
        <f t="shared" si="11"/>
        <v>33</v>
      </c>
      <c r="U123" s="44"/>
    </row>
    <row r="124" spans="1:21" ht="14.25">
      <c r="A124" s="30"/>
      <c r="B124" s="30"/>
      <c r="C124" s="494" t="s">
        <v>30</v>
      </c>
      <c r="D124" s="495"/>
      <c r="E124" s="496"/>
      <c r="F124" s="544">
        <f>SUM(F118:F123)</f>
        <v>0</v>
      </c>
      <c r="G124" s="544"/>
      <c r="H124" s="53"/>
      <c r="I124" s="495"/>
      <c r="J124" s="496"/>
      <c r="K124" s="552">
        <f>SUM(K118:K123)</f>
        <v>0</v>
      </c>
      <c r="L124" s="552"/>
      <c r="M124" s="552"/>
      <c r="N124" s="546"/>
      <c r="O124" s="546"/>
      <c r="P124" s="546"/>
      <c r="Q124" s="546"/>
      <c r="R124" s="546"/>
      <c r="S124" s="38"/>
      <c r="T124" s="44">
        <f t="shared" si="11"/>
        <v>34</v>
      </c>
      <c r="U124" s="44"/>
    </row>
    <row r="125" spans="1:21" ht="14.25">
      <c r="A125" s="30"/>
      <c r="B125" s="31" t="s">
        <v>114</v>
      </c>
      <c r="C125" s="44"/>
      <c r="D125" s="30"/>
      <c r="E125" s="30"/>
      <c r="F125" s="48"/>
      <c r="G125" s="48"/>
      <c r="H125" s="48"/>
      <c r="I125" s="57"/>
      <c r="J125" s="57"/>
      <c r="K125" s="58"/>
      <c r="L125" s="48"/>
      <c r="M125" s="48"/>
      <c r="N125" s="59"/>
      <c r="O125" s="59"/>
      <c r="P125" s="59"/>
      <c r="Q125" s="62"/>
      <c r="R125" s="38"/>
      <c r="S125" s="38"/>
      <c r="T125" s="44">
        <f t="shared" si="11"/>
        <v>35</v>
      </c>
      <c r="U125" s="44"/>
    </row>
    <row r="126" spans="1:21" ht="14.25">
      <c r="A126" s="30"/>
      <c r="B126" s="30"/>
      <c r="C126" s="30"/>
      <c r="D126" s="30" t="s">
        <v>115</v>
      </c>
      <c r="E126" s="548">
        <f>$L$15/10000</f>
        <v>0</v>
      </c>
      <c r="F126" s="548"/>
      <c r="G126" s="31" t="s">
        <v>116</v>
      </c>
      <c r="H126" s="449">
        <f>$G$15/10000</f>
        <v>0</v>
      </c>
      <c r="I126" s="449"/>
      <c r="J126" s="31" t="s">
        <v>75</v>
      </c>
      <c r="K126" s="487" t="e">
        <f>E126/H126</f>
        <v>#DIV/0!</v>
      </c>
      <c r="L126" s="487"/>
      <c r="M126" s="31" t="s">
        <v>94</v>
      </c>
      <c r="N126" s="537">
        <f>$M$7</f>
        <v>0</v>
      </c>
      <c r="O126" s="537"/>
      <c r="P126" s="43" t="s">
        <v>22</v>
      </c>
      <c r="Q126" s="117"/>
      <c r="R126" s="118"/>
      <c r="S126" s="38"/>
      <c r="T126" s="44">
        <f t="shared" si="11"/>
        <v>36</v>
      </c>
      <c r="U126" s="44"/>
    </row>
    <row r="127" spans="1:21" ht="14.25">
      <c r="A127" s="30"/>
      <c r="B127" s="30"/>
      <c r="C127" s="50" t="s">
        <v>117</v>
      </c>
      <c r="D127" s="52"/>
      <c r="E127" s="30"/>
      <c r="F127" s="30"/>
      <c r="G127" s="30"/>
      <c r="H127" s="30"/>
      <c r="I127" s="30"/>
      <c r="J127" s="30"/>
      <c r="K127" s="30"/>
      <c r="L127" s="30"/>
      <c r="M127" s="30"/>
      <c r="N127" s="30"/>
      <c r="O127" s="30"/>
      <c r="P127" s="30"/>
      <c r="Q127" s="30"/>
      <c r="R127" s="30"/>
      <c r="S127" s="30"/>
      <c r="T127" s="44">
        <f t="shared" si="11"/>
        <v>37</v>
      </c>
      <c r="U127" s="44"/>
    </row>
    <row r="128" spans="1:21" ht="14.25">
      <c r="A128" s="30"/>
      <c r="B128" s="36"/>
      <c r="C128" s="549" t="s">
        <v>118</v>
      </c>
      <c r="D128" s="550"/>
      <c r="E128" s="550"/>
      <c r="F128" s="550"/>
      <c r="G128" s="550"/>
      <c r="H128" s="551" t="s">
        <v>119</v>
      </c>
      <c r="I128" s="551"/>
      <c r="J128" s="551"/>
      <c r="K128" s="550" t="s">
        <v>113</v>
      </c>
      <c r="L128" s="550"/>
      <c r="M128" s="550"/>
      <c r="N128" s="426" t="s">
        <v>27</v>
      </c>
      <c r="O128" s="426"/>
      <c r="P128" s="426"/>
      <c r="Q128" s="426"/>
      <c r="R128" s="426"/>
      <c r="S128" s="38"/>
      <c r="T128" s="44">
        <f t="shared" si="11"/>
        <v>38</v>
      </c>
      <c r="U128" s="44"/>
    </row>
    <row r="129" spans="1:21" ht="14.25">
      <c r="A129" s="30"/>
      <c r="B129" s="36"/>
      <c r="C129" s="488">
        <f>D18</f>
        <v>0</v>
      </c>
      <c r="D129" s="488"/>
      <c r="E129" s="488"/>
      <c r="F129" s="489">
        <f>G18/10000</f>
        <v>0</v>
      </c>
      <c r="G129" s="489"/>
      <c r="H129" s="490" t="str">
        <f>J18</f>
        <v/>
      </c>
      <c r="I129" s="491"/>
      <c r="J129" s="492"/>
      <c r="K129" s="493">
        <f>IF(L18="",0,L18/10000)</f>
        <v>0</v>
      </c>
      <c r="L129" s="493"/>
      <c r="M129" s="493"/>
      <c r="N129" s="547">
        <f>N18</f>
        <v>0</v>
      </c>
      <c r="O129" s="547"/>
      <c r="P129" s="547"/>
      <c r="Q129" s="547"/>
      <c r="R129" s="547"/>
      <c r="S129" s="61"/>
      <c r="T129" s="44">
        <f t="shared" si="11"/>
        <v>39</v>
      </c>
      <c r="U129" s="44"/>
    </row>
    <row r="130" spans="1:21" ht="14.25">
      <c r="A130" s="30"/>
      <c r="B130" s="36"/>
      <c r="C130" s="538">
        <f>D19</f>
        <v>0</v>
      </c>
      <c r="D130" s="538"/>
      <c r="E130" s="538"/>
      <c r="F130" s="539">
        <f>G19/10000</f>
        <v>0</v>
      </c>
      <c r="G130" s="539"/>
      <c r="H130" s="540" t="str">
        <f>J19</f>
        <v/>
      </c>
      <c r="I130" s="469"/>
      <c r="J130" s="541"/>
      <c r="K130" s="542">
        <f>IF(L19="",0,L19/10000)</f>
        <v>0</v>
      </c>
      <c r="L130" s="542"/>
      <c r="M130" s="542"/>
      <c r="N130" s="543">
        <f>N19</f>
        <v>0</v>
      </c>
      <c r="O130" s="543"/>
      <c r="P130" s="543"/>
      <c r="Q130" s="543"/>
      <c r="R130" s="543"/>
      <c r="S130" s="61"/>
      <c r="T130" s="44">
        <f t="shared" si="11"/>
        <v>40</v>
      </c>
      <c r="U130" s="44"/>
    </row>
    <row r="131" spans="1:21" ht="14.25">
      <c r="A131" s="30"/>
      <c r="B131" s="36"/>
      <c r="C131" s="538">
        <f>D20</f>
        <v>0</v>
      </c>
      <c r="D131" s="538"/>
      <c r="E131" s="538"/>
      <c r="F131" s="539">
        <f>G20/10000</f>
        <v>0</v>
      </c>
      <c r="G131" s="539"/>
      <c r="H131" s="540" t="str">
        <f>J20</f>
        <v/>
      </c>
      <c r="I131" s="469"/>
      <c r="J131" s="541"/>
      <c r="K131" s="542">
        <f>IF(L20="",0,L20/10000)</f>
        <v>0</v>
      </c>
      <c r="L131" s="542"/>
      <c r="M131" s="542"/>
      <c r="N131" s="543">
        <f>N20</f>
        <v>0</v>
      </c>
      <c r="O131" s="543"/>
      <c r="P131" s="543"/>
      <c r="Q131" s="543"/>
      <c r="R131" s="543"/>
      <c r="S131" s="61"/>
      <c r="T131" s="44">
        <f t="shared" si="11"/>
        <v>41</v>
      </c>
      <c r="U131" s="44"/>
    </row>
    <row r="132" spans="1:21" ht="14.25">
      <c r="A132" s="30"/>
      <c r="B132" s="30"/>
      <c r="C132" s="494" t="s">
        <v>30</v>
      </c>
      <c r="D132" s="495"/>
      <c r="E132" s="496"/>
      <c r="F132" s="544">
        <f>SUM(F129:F131)</f>
        <v>0</v>
      </c>
      <c r="G132" s="544"/>
      <c r="H132" s="53"/>
      <c r="I132" s="495"/>
      <c r="J132" s="496"/>
      <c r="K132" s="545">
        <f>SUM(K129:K131)</f>
        <v>0</v>
      </c>
      <c r="L132" s="545"/>
      <c r="M132" s="545"/>
      <c r="N132" s="546"/>
      <c r="O132" s="546"/>
      <c r="P132" s="546"/>
      <c r="Q132" s="546"/>
      <c r="R132" s="546"/>
      <c r="S132" s="38"/>
      <c r="T132" s="44">
        <f t="shared" si="11"/>
        <v>42</v>
      </c>
      <c r="U132" s="44"/>
    </row>
    <row r="133" spans="1:21" ht="14.25">
      <c r="A133" s="30"/>
      <c r="B133" s="31"/>
      <c r="C133" s="44"/>
      <c r="D133" s="30"/>
      <c r="E133" s="30"/>
      <c r="F133" s="48"/>
      <c r="G133" s="48"/>
      <c r="H133" s="47" t="s">
        <v>120</v>
      </c>
      <c r="I133" s="57"/>
      <c r="J133" s="57"/>
      <c r="K133" s="58"/>
      <c r="L133" s="48"/>
      <c r="M133" s="48"/>
      <c r="N133" s="59"/>
      <c r="O133" s="59"/>
      <c r="P133" s="59"/>
      <c r="Q133" s="62"/>
      <c r="R133" s="38"/>
      <c r="S133" s="38"/>
      <c r="T133" s="44">
        <f t="shared" si="11"/>
        <v>43</v>
      </c>
      <c r="U133" s="44"/>
    </row>
    <row r="134" spans="1:21" ht="14.25">
      <c r="A134" s="30"/>
      <c r="B134" s="31" t="s">
        <v>114</v>
      </c>
      <c r="C134" s="44"/>
      <c r="D134" s="30"/>
      <c r="E134" s="30"/>
      <c r="F134" s="48"/>
      <c r="G134" s="48"/>
      <c r="H134" s="48"/>
      <c r="I134" s="57"/>
      <c r="J134" s="57"/>
      <c r="K134" s="58"/>
      <c r="L134" s="48"/>
      <c r="M134" s="48"/>
      <c r="N134" s="59"/>
      <c r="O134" s="59"/>
      <c r="P134" s="59"/>
      <c r="Q134" s="62"/>
      <c r="R134" s="38"/>
      <c r="S134" s="38"/>
      <c r="T134" s="44">
        <f t="shared" si="11"/>
        <v>44</v>
      </c>
      <c r="U134" s="44"/>
    </row>
    <row r="135" spans="1:21" ht="14.25">
      <c r="A135" s="30"/>
      <c r="B135" s="30"/>
      <c r="C135" s="30"/>
      <c r="D135" s="30" t="s">
        <v>115</v>
      </c>
      <c r="E135" s="486">
        <f>K132</f>
        <v>0</v>
      </c>
      <c r="F135" s="486"/>
      <c r="G135" s="31" t="s">
        <v>116</v>
      </c>
      <c r="H135" s="449">
        <f>F132</f>
        <v>0</v>
      </c>
      <c r="I135" s="449"/>
      <c r="J135" s="31" t="s">
        <v>75</v>
      </c>
      <c r="K135" s="487">
        <f>IF(E135&gt;0,E135/H135,0)</f>
        <v>0</v>
      </c>
      <c r="L135" s="487"/>
      <c r="M135" s="31" t="s">
        <v>94</v>
      </c>
      <c r="N135" s="537">
        <f>ROUNDUP(K135,2)</f>
        <v>0</v>
      </c>
      <c r="O135" s="537"/>
      <c r="P135" s="43" t="s">
        <v>22</v>
      </c>
      <c r="Q135" s="62"/>
      <c r="R135" s="38"/>
      <c r="S135" s="38"/>
      <c r="T135" s="44">
        <f t="shared" si="11"/>
        <v>45</v>
      </c>
      <c r="U135" s="44"/>
    </row>
    <row r="136" spans="1:21" ht="14.25">
      <c r="A136" s="30"/>
      <c r="B136" s="30"/>
      <c r="C136" s="30"/>
      <c r="D136" s="30"/>
      <c r="E136" s="31"/>
      <c r="F136" s="31"/>
      <c r="G136" s="31"/>
      <c r="H136" s="31"/>
      <c r="I136" s="31"/>
      <c r="J136" s="31"/>
      <c r="K136" s="31"/>
      <c r="L136" s="44"/>
      <c r="M136" s="44"/>
      <c r="N136" s="44"/>
      <c r="O136" s="44"/>
      <c r="P136" s="32"/>
      <c r="Q136" s="44"/>
      <c r="R136" s="38"/>
      <c r="S136" s="38"/>
      <c r="T136" s="44">
        <f t="shared" si="11"/>
        <v>46</v>
      </c>
      <c r="U136" s="44"/>
    </row>
    <row r="137" spans="1:21" ht="14.25">
      <c r="A137" s="134" t="s">
        <v>121</v>
      </c>
      <c r="B137" s="30"/>
      <c r="C137" s="30"/>
      <c r="D137" s="30"/>
      <c r="E137" s="30"/>
      <c r="F137" s="30"/>
      <c r="G137" s="30"/>
      <c r="H137" s="30"/>
      <c r="I137" s="30"/>
      <c r="J137" s="30"/>
      <c r="K137" s="30"/>
      <c r="L137" s="30"/>
      <c r="M137" s="30"/>
      <c r="N137" s="30"/>
      <c r="O137" s="30"/>
      <c r="P137" s="30"/>
      <c r="Q137" s="30"/>
      <c r="R137" s="30"/>
      <c r="S137" s="30"/>
      <c r="T137" s="44">
        <f t="shared" si="11"/>
        <v>47</v>
      </c>
      <c r="U137" s="44"/>
    </row>
    <row r="138" spans="1:21" ht="14.25">
      <c r="A138" s="30"/>
      <c r="B138" s="30" t="s">
        <v>124</v>
      </c>
      <c r="C138" s="30"/>
      <c r="D138" s="35"/>
      <c r="E138" s="35"/>
      <c r="F138" s="35"/>
      <c r="G138" s="30"/>
      <c r="H138" s="38"/>
      <c r="I138" s="38"/>
      <c r="J138" s="38"/>
      <c r="K138" s="38"/>
      <c r="L138" s="38"/>
      <c r="M138" s="38"/>
      <c r="N138" s="38"/>
      <c r="O138" s="38"/>
      <c r="P138" s="38"/>
      <c r="Q138" s="38"/>
      <c r="R138" s="38"/>
      <c r="S138" s="38"/>
      <c r="T138" s="44">
        <f>T137+1</f>
        <v>48</v>
      </c>
      <c r="U138" s="44"/>
    </row>
    <row r="139" spans="1:21" ht="14.25">
      <c r="A139" s="115"/>
      <c r="B139" s="115"/>
      <c r="C139" s="115"/>
      <c r="D139" s="115"/>
      <c r="E139" s="115" t="s">
        <v>125</v>
      </c>
      <c r="F139" s="116"/>
      <c r="G139" s="116"/>
      <c r="H139" s="116" t="s">
        <v>126</v>
      </c>
      <c r="I139" s="116"/>
      <c r="J139" s="116"/>
      <c r="K139" s="116" t="s">
        <v>127</v>
      </c>
      <c r="L139" s="116"/>
      <c r="M139" s="116"/>
      <c r="N139" s="116" t="s">
        <v>128</v>
      </c>
      <c r="O139" s="116"/>
      <c r="P139" s="116"/>
      <c r="Q139" s="116"/>
      <c r="R139" s="116"/>
      <c r="S139" s="116"/>
      <c r="T139" s="44">
        <f t="shared" ref="T139:T147" si="22">T138+1</f>
        <v>49</v>
      </c>
      <c r="U139" s="44"/>
    </row>
    <row r="140" spans="1:21" ht="14.25">
      <c r="A140" s="30"/>
      <c r="B140" s="30"/>
      <c r="C140" s="30" t="s">
        <v>129</v>
      </c>
      <c r="D140" s="35" t="s">
        <v>75</v>
      </c>
      <c r="E140" s="534">
        <f>K36</f>
        <v>2.5000000000000001E-2</v>
      </c>
      <c r="F140" s="459"/>
      <c r="G140" s="48" t="s">
        <v>350</v>
      </c>
      <c r="H140" s="535">
        <f>$G$15/10000</f>
        <v>0</v>
      </c>
      <c r="I140" s="535"/>
      <c r="J140" s="124" t="s">
        <v>349</v>
      </c>
      <c r="K140" s="442">
        <f>F132</f>
        <v>0</v>
      </c>
      <c r="L140" s="442"/>
      <c r="M140" s="124" t="s">
        <v>349</v>
      </c>
      <c r="N140" s="536">
        <f>ROUND(K35/10000,5)</f>
        <v>0</v>
      </c>
      <c r="O140" s="536"/>
      <c r="P140" s="48" t="s">
        <v>351</v>
      </c>
      <c r="Q140" s="48"/>
      <c r="R140" s="227"/>
      <c r="S140" s="227"/>
      <c r="T140" s="44">
        <f t="shared" si="22"/>
        <v>50</v>
      </c>
      <c r="U140" s="44"/>
    </row>
    <row r="141" spans="1:21" ht="14.25">
      <c r="A141" s="30"/>
      <c r="B141" s="30"/>
      <c r="C141" s="30"/>
      <c r="D141" s="35" t="s">
        <v>75</v>
      </c>
      <c r="E141" s="442">
        <f>AP43</f>
        <v>0</v>
      </c>
      <c r="F141" s="442"/>
      <c r="G141" s="30" t="s">
        <v>64</v>
      </c>
      <c r="H141" s="38"/>
      <c r="I141" s="38"/>
      <c r="J141" s="38"/>
      <c r="K141" s="38"/>
      <c r="L141" s="38"/>
      <c r="M141" s="38"/>
      <c r="N141" s="38"/>
      <c r="O141" s="38"/>
      <c r="P141" s="38"/>
      <c r="Q141" s="38"/>
      <c r="R141" s="38"/>
      <c r="S141" s="38"/>
      <c r="T141" s="44">
        <f t="shared" si="22"/>
        <v>51</v>
      </c>
      <c r="U141" s="44"/>
    </row>
    <row r="142" spans="1:21" ht="14.25">
      <c r="A142" s="30"/>
      <c r="B142" s="30"/>
      <c r="C142" s="30"/>
      <c r="D142" s="35"/>
      <c r="E142" s="35"/>
      <c r="F142" s="35"/>
      <c r="G142" s="30"/>
      <c r="H142" s="38"/>
      <c r="I142" s="38"/>
      <c r="J142" s="38"/>
      <c r="K142" s="38"/>
      <c r="L142" s="38"/>
      <c r="M142" s="38"/>
      <c r="N142" s="38"/>
      <c r="O142" s="38"/>
      <c r="P142" s="38"/>
      <c r="Q142" s="38"/>
      <c r="R142" s="38"/>
      <c r="S142" s="38"/>
      <c r="T142" s="44">
        <f t="shared" si="22"/>
        <v>52</v>
      </c>
      <c r="U142" s="44"/>
    </row>
    <row r="143" spans="1:21" ht="14.25">
      <c r="A143" s="30"/>
      <c r="B143" s="30" t="s">
        <v>371</v>
      </c>
      <c r="C143" s="30"/>
      <c r="D143" s="30"/>
      <c r="E143" s="30"/>
      <c r="F143" s="38"/>
      <c r="G143" s="38"/>
      <c r="H143" s="38"/>
      <c r="I143" s="38"/>
      <c r="J143" s="38"/>
      <c r="K143" s="38"/>
      <c r="L143" s="38"/>
      <c r="M143" s="38"/>
      <c r="N143" s="38"/>
      <c r="O143" s="38"/>
      <c r="P143" s="38"/>
      <c r="Q143" s="38"/>
      <c r="R143" s="38"/>
      <c r="S143" s="38"/>
      <c r="T143" s="44">
        <f t="shared" si="22"/>
        <v>53</v>
      </c>
      <c r="U143" s="44"/>
    </row>
    <row r="144" spans="1:21" ht="14.25">
      <c r="A144" s="30"/>
      <c r="B144" s="30"/>
      <c r="C144" s="429" t="s">
        <v>122</v>
      </c>
      <c r="D144" s="429" t="s">
        <v>75</v>
      </c>
      <c r="E144" s="64">
        <v>1</v>
      </c>
      <c r="F144" s="498" t="s">
        <v>123</v>
      </c>
      <c r="G144" s="498"/>
      <c r="H144" s="498"/>
      <c r="I144" s="429" t="s">
        <v>75</v>
      </c>
      <c r="J144" s="64">
        <v>1</v>
      </c>
      <c r="K144" s="501" t="str">
        <f>"×"&amp;N135&amp;"×"</f>
        <v>×0×</v>
      </c>
      <c r="L144" s="501"/>
      <c r="M144" s="513">
        <f>$AT$59</f>
        <v>1695</v>
      </c>
      <c r="N144" s="513"/>
      <c r="O144" s="513"/>
      <c r="P144" s="513"/>
      <c r="Q144" s="521" t="str">
        <f>"×"&amp;F132</f>
        <v>×0</v>
      </c>
      <c r="R144" s="521"/>
      <c r="S144" s="521"/>
      <c r="T144" s="44">
        <f t="shared" si="22"/>
        <v>54</v>
      </c>
      <c r="U144" s="44"/>
    </row>
    <row r="145" spans="1:21" ht="15.75">
      <c r="A145" s="30"/>
      <c r="B145" s="30"/>
      <c r="C145" s="429"/>
      <c r="D145" s="429"/>
      <c r="E145" s="63">
        <v>360</v>
      </c>
      <c r="F145" s="498"/>
      <c r="G145" s="498"/>
      <c r="H145" s="498"/>
      <c r="I145" s="429"/>
      <c r="J145" s="63">
        <v>360</v>
      </c>
      <c r="K145" s="501"/>
      <c r="L145" s="501"/>
      <c r="M145" s="65">
        <v>5</v>
      </c>
      <c r="N145" s="254">
        <f>$AV$60</f>
        <v>0.75</v>
      </c>
      <c r="O145" s="536" t="str">
        <f>"＋"&amp;$AX$60</f>
        <v>＋10</v>
      </c>
      <c r="P145" s="536"/>
      <c r="Q145" s="521"/>
      <c r="R145" s="521"/>
      <c r="S145" s="521"/>
      <c r="T145" s="44">
        <f t="shared" si="22"/>
        <v>55</v>
      </c>
      <c r="U145" s="44"/>
    </row>
    <row r="146" spans="1:21" ht="14.25">
      <c r="A146" s="30"/>
      <c r="B146" s="30"/>
      <c r="C146" s="30"/>
      <c r="D146" s="35" t="s">
        <v>75</v>
      </c>
      <c r="E146" s="533" t="str">
        <f>IF(M7=0,"",ROUNDUP(1/360*$M$16*AT59/(5^AV60+AX60)*G21/10000,5))</f>
        <v/>
      </c>
      <c r="F146" s="425"/>
      <c r="G146" s="30" t="s">
        <v>64</v>
      </c>
      <c r="H146" s="38"/>
      <c r="I146" s="365" t="str">
        <f>IF(OR(E146=0,E141&gt;=E146),"ＯＫ","ＮＧ")</f>
        <v>ＮＧ</v>
      </c>
      <c r="J146" s="38"/>
      <c r="K146" s="38"/>
      <c r="L146" s="38"/>
      <c r="M146" s="38"/>
      <c r="N146" s="38"/>
      <c r="O146" s="38"/>
      <c r="P146" s="38"/>
      <c r="Q146" s="38"/>
      <c r="R146" s="38"/>
      <c r="S146" s="38"/>
      <c r="T146" s="44">
        <f t="shared" si="22"/>
        <v>56</v>
      </c>
      <c r="U146" s="44"/>
    </row>
    <row r="147" spans="1:21" ht="14.25">
      <c r="A147" s="30"/>
      <c r="B147" s="30"/>
      <c r="C147" s="30"/>
      <c r="D147" s="30"/>
      <c r="E147" s="30"/>
      <c r="F147" s="38"/>
      <c r="G147" s="38"/>
      <c r="H147" s="38"/>
      <c r="I147" s="38"/>
      <c r="J147" s="38"/>
      <c r="K147" s="38"/>
      <c r="L147" s="38"/>
      <c r="M147" s="38"/>
      <c r="N147" s="38"/>
      <c r="O147" s="38"/>
      <c r="P147" s="38"/>
      <c r="Q147" s="38"/>
      <c r="R147" s="38"/>
      <c r="S147" s="38"/>
      <c r="T147" s="44">
        <f t="shared" si="22"/>
        <v>57</v>
      </c>
      <c r="U147" s="44"/>
    </row>
    <row r="148" spans="1:21" ht="14.25">
      <c r="A148" s="134" t="s">
        <v>136</v>
      </c>
      <c r="B148" s="30"/>
      <c r="C148" s="30"/>
      <c r="D148" s="30"/>
      <c r="E148" s="30"/>
      <c r="F148" s="38"/>
      <c r="G148" s="38"/>
      <c r="H148" s="38"/>
      <c r="I148" s="38"/>
      <c r="J148" s="38"/>
      <c r="K148" s="38"/>
      <c r="L148" s="38"/>
      <c r="M148" s="38"/>
      <c r="N148" s="38"/>
      <c r="O148" s="38"/>
      <c r="P148" s="38"/>
      <c r="Q148" s="38"/>
      <c r="R148" s="38"/>
      <c r="S148" s="38"/>
      <c r="T148" s="44">
        <v>1</v>
      </c>
      <c r="U148" s="44"/>
    </row>
    <row r="149" spans="1:21" ht="14.25">
      <c r="A149" s="30"/>
      <c r="B149" s="526" t="s">
        <v>369</v>
      </c>
      <c r="C149" s="526"/>
      <c r="D149" s="526"/>
      <c r="E149" s="526"/>
      <c r="F149" s="526"/>
      <c r="G149" s="526"/>
      <c r="H149" s="759" t="s">
        <v>137</v>
      </c>
      <c r="I149" s="759"/>
      <c r="J149" s="759"/>
      <c r="K149" s="759" t="s">
        <v>138</v>
      </c>
      <c r="L149" s="759"/>
      <c r="M149" s="759"/>
      <c r="N149" s="759" t="s">
        <v>139</v>
      </c>
      <c r="O149" s="759"/>
      <c r="P149" s="759"/>
      <c r="Q149" s="813" t="s">
        <v>455</v>
      </c>
      <c r="R149" s="814"/>
      <c r="S149" s="815"/>
      <c r="T149" s="44">
        <f t="shared" si="11"/>
        <v>2</v>
      </c>
      <c r="U149" s="44"/>
    </row>
    <row r="150" spans="1:21" ht="14.25">
      <c r="A150" s="44"/>
      <c r="B150" s="526"/>
      <c r="C150" s="526"/>
      <c r="D150" s="526"/>
      <c r="E150" s="526"/>
      <c r="F150" s="526"/>
      <c r="G150" s="526"/>
      <c r="H150" s="759"/>
      <c r="I150" s="759"/>
      <c r="J150" s="759"/>
      <c r="K150" s="759"/>
      <c r="L150" s="759"/>
      <c r="M150" s="759"/>
      <c r="N150" s="759"/>
      <c r="O150" s="759"/>
      <c r="P150" s="759"/>
      <c r="Q150" s="808"/>
      <c r="R150" s="816"/>
      <c r="S150" s="809"/>
      <c r="T150" s="44">
        <f t="shared" ref="T150:T208" si="23">T149+1</f>
        <v>3</v>
      </c>
      <c r="U150" s="44"/>
    </row>
    <row r="151" spans="1:21" ht="14.25">
      <c r="A151" s="44"/>
      <c r="B151" s="440" t="str">
        <f>D31</f>
        <v>矩形ます(側面・底面浸透)</v>
      </c>
      <c r="C151" s="440"/>
      <c r="D151" s="440"/>
      <c r="E151" s="440"/>
      <c r="F151" s="440"/>
      <c r="G151" s="440"/>
      <c r="H151" s="760">
        <f>I31</f>
        <v>0</v>
      </c>
      <c r="I151" s="760"/>
      <c r="J151" s="760"/>
      <c r="K151" s="760">
        <f>K31</f>
        <v>0</v>
      </c>
      <c r="L151" s="760"/>
      <c r="M151" s="760"/>
      <c r="N151" s="760">
        <f>M31</f>
        <v>0</v>
      </c>
      <c r="O151" s="760"/>
      <c r="P151" s="760"/>
      <c r="Q151" s="817">
        <f>O31</f>
        <v>1</v>
      </c>
      <c r="R151" s="818"/>
      <c r="S151" s="819"/>
      <c r="T151" s="44">
        <f t="shared" si="23"/>
        <v>4</v>
      </c>
      <c r="U151" s="44"/>
    </row>
    <row r="152" spans="1:21" ht="14.25">
      <c r="A152" s="30"/>
      <c r="B152" s="30"/>
      <c r="C152" s="30"/>
      <c r="D152" s="30"/>
      <c r="E152" s="30"/>
      <c r="F152" s="48"/>
      <c r="G152" s="30"/>
      <c r="H152" s="30"/>
      <c r="I152" s="30"/>
      <c r="J152" s="30"/>
      <c r="K152" s="30"/>
      <c r="L152" s="30"/>
      <c r="M152" s="30"/>
      <c r="N152" s="30"/>
      <c r="O152" s="30"/>
      <c r="P152" s="30"/>
      <c r="Q152" s="30"/>
      <c r="R152" s="30"/>
      <c r="S152" s="30"/>
      <c r="T152" s="44">
        <f t="shared" si="23"/>
        <v>5</v>
      </c>
      <c r="U152" s="44"/>
    </row>
    <row r="153" spans="1:21" ht="14.25">
      <c r="A153" s="30"/>
      <c r="B153" s="38" t="s">
        <v>140</v>
      </c>
      <c r="C153" s="30"/>
      <c r="D153" s="30"/>
      <c r="E153" s="30"/>
      <c r="F153" s="48"/>
      <c r="G153" s="30"/>
      <c r="H153" s="30"/>
      <c r="I153" s="30"/>
      <c r="J153" s="30"/>
      <c r="K153" s="30"/>
      <c r="L153" s="30"/>
      <c r="M153" s="30"/>
      <c r="N153" s="30"/>
      <c r="O153" s="30"/>
      <c r="P153" s="30"/>
      <c r="Q153" s="30"/>
      <c r="R153" s="30"/>
      <c r="S153" s="30"/>
      <c r="T153" s="44">
        <f t="shared" si="23"/>
        <v>6</v>
      </c>
      <c r="U153" s="44"/>
    </row>
    <row r="154" spans="1:21" ht="14.25">
      <c r="A154" s="44"/>
      <c r="B154" s="813" t="s">
        <v>141</v>
      </c>
      <c r="C154" s="814"/>
      <c r="D154" s="815"/>
      <c r="E154" s="813" t="s">
        <v>46</v>
      </c>
      <c r="F154" s="814"/>
      <c r="G154" s="814"/>
      <c r="H154" s="813" t="s">
        <v>142</v>
      </c>
      <c r="I154" s="814"/>
      <c r="J154" s="815"/>
      <c r="K154" s="813" t="s">
        <v>143</v>
      </c>
      <c r="L154" s="815"/>
      <c r="M154" s="813" t="s">
        <v>143</v>
      </c>
      <c r="N154" s="815"/>
      <c r="O154" s="813" t="s">
        <v>144</v>
      </c>
      <c r="P154" s="815"/>
      <c r="Q154" s="805" t="s">
        <v>145</v>
      </c>
      <c r="R154" s="806"/>
      <c r="S154" s="807"/>
      <c r="T154" s="44">
        <f t="shared" si="23"/>
        <v>7</v>
      </c>
      <c r="U154" s="44"/>
    </row>
    <row r="155" spans="1:21" ht="14.25">
      <c r="A155" s="44"/>
      <c r="B155" s="808" t="s">
        <v>146</v>
      </c>
      <c r="C155" s="816"/>
      <c r="D155" s="809"/>
      <c r="E155" s="808" t="s">
        <v>147</v>
      </c>
      <c r="F155" s="816"/>
      <c r="G155" s="816"/>
      <c r="H155" s="808" t="s">
        <v>148</v>
      </c>
      <c r="I155" s="816"/>
      <c r="J155" s="809"/>
      <c r="K155" s="808" t="s">
        <v>453</v>
      </c>
      <c r="L155" s="809"/>
      <c r="M155" s="808" t="s">
        <v>454</v>
      </c>
      <c r="N155" s="809"/>
      <c r="O155" s="808" t="s">
        <v>149</v>
      </c>
      <c r="P155" s="809"/>
      <c r="Q155" s="810" t="s">
        <v>150</v>
      </c>
      <c r="R155" s="811"/>
      <c r="S155" s="812"/>
      <c r="T155" s="44">
        <f t="shared" si="23"/>
        <v>8</v>
      </c>
      <c r="U155" s="44"/>
    </row>
    <row r="156" spans="1:21" ht="14.25" customHeight="1">
      <c r="A156" s="44"/>
      <c r="B156" s="827">
        <f>AL39</f>
        <v>-0.83399999999999996</v>
      </c>
      <c r="C156" s="828"/>
      <c r="D156" s="829"/>
      <c r="E156" s="802">
        <f>AN39</f>
        <v>0.02</v>
      </c>
      <c r="F156" s="803"/>
      <c r="G156" s="803"/>
      <c r="H156" s="802">
        <f>AP39</f>
        <v>-1.7000000000000001E-2</v>
      </c>
      <c r="I156" s="803"/>
      <c r="J156" s="804"/>
      <c r="K156" s="433">
        <f>AR39</f>
        <v>0.9</v>
      </c>
      <c r="L156" s="434"/>
      <c r="M156" s="433">
        <f>AT39</f>
        <v>0.9</v>
      </c>
      <c r="N156" s="434"/>
      <c r="O156" s="516">
        <f>AV39</f>
        <v>0.8</v>
      </c>
      <c r="P156" s="518"/>
      <c r="Q156" s="799">
        <f>AX39</f>
        <v>-1.0999999999999999E-2</v>
      </c>
      <c r="R156" s="800"/>
      <c r="S156" s="801"/>
      <c r="T156" s="44">
        <f t="shared" si="23"/>
        <v>9</v>
      </c>
      <c r="U156" s="44"/>
    </row>
    <row r="157" spans="1:21" ht="14.25" customHeight="1">
      <c r="A157" s="30"/>
      <c r="B157" s="30"/>
      <c r="C157" s="30"/>
      <c r="D157" s="30"/>
      <c r="E157" s="30"/>
      <c r="F157" s="38"/>
      <c r="G157" s="38"/>
      <c r="H157" s="38"/>
      <c r="I157" s="38"/>
      <c r="J157" s="38"/>
      <c r="K157" s="38"/>
      <c r="L157" s="38"/>
      <c r="M157" s="38"/>
      <c r="N157" s="38"/>
      <c r="O157" s="38"/>
      <c r="P157" s="38"/>
      <c r="Q157" s="38"/>
      <c r="R157" s="38"/>
      <c r="S157" s="38"/>
      <c r="T157" s="44">
        <f t="shared" si="23"/>
        <v>10</v>
      </c>
      <c r="U157" s="44"/>
    </row>
    <row r="158" spans="1:21" ht="16.5">
      <c r="A158" s="30"/>
      <c r="B158" s="38"/>
      <c r="C158" s="35" t="s">
        <v>105</v>
      </c>
      <c r="D158" s="35" t="s">
        <v>75</v>
      </c>
      <c r="E158" s="35" t="s">
        <v>79</v>
      </c>
      <c r="F158" s="35" t="s">
        <v>130</v>
      </c>
      <c r="G158" s="35" t="s">
        <v>151</v>
      </c>
      <c r="H158" s="35"/>
      <c r="I158" s="35"/>
      <c r="J158" s="30"/>
      <c r="K158" s="30"/>
      <c r="L158" s="30"/>
      <c r="M158" s="30"/>
      <c r="N158" s="30"/>
      <c r="O158" s="30"/>
      <c r="P158" s="30"/>
      <c r="Q158" s="30"/>
      <c r="R158" s="30"/>
      <c r="S158" s="30"/>
      <c r="T158" s="44">
        <f t="shared" si="23"/>
        <v>11</v>
      </c>
      <c r="U158" s="44"/>
    </row>
    <row r="159" spans="1:21" ht="16.5">
      <c r="A159" s="30"/>
      <c r="B159" s="38"/>
      <c r="C159" s="44" t="s">
        <v>100</v>
      </c>
      <c r="D159" s="46"/>
      <c r="E159" s="47" t="s">
        <v>105</v>
      </c>
      <c r="F159" s="48" t="s">
        <v>102</v>
      </c>
      <c r="G159" s="30" t="s">
        <v>152</v>
      </c>
      <c r="H159" s="30"/>
      <c r="I159" s="30"/>
      <c r="J159" s="30"/>
      <c r="K159" s="30"/>
      <c r="L159" s="30"/>
      <c r="M159" s="30"/>
      <c r="N159" s="30"/>
      <c r="O159" s="30"/>
      <c r="P159" s="30"/>
      <c r="Q159" s="30"/>
      <c r="R159" s="30"/>
      <c r="S159" s="30"/>
      <c r="T159" s="44">
        <f t="shared" si="23"/>
        <v>12</v>
      </c>
      <c r="U159" s="44"/>
    </row>
    <row r="160" spans="1:21" ht="14.25">
      <c r="A160" s="30"/>
      <c r="B160" s="38"/>
      <c r="C160" s="44"/>
      <c r="D160" s="46"/>
      <c r="E160" s="47" t="s">
        <v>79</v>
      </c>
      <c r="F160" s="48" t="s">
        <v>102</v>
      </c>
      <c r="G160" s="30" t="s">
        <v>511</v>
      </c>
      <c r="H160" s="30"/>
      <c r="I160" s="30"/>
      <c r="J160" s="30"/>
      <c r="K160" s="30"/>
      <c r="L160" s="30"/>
      <c r="M160" s="30"/>
      <c r="N160" s="30"/>
      <c r="O160" s="30"/>
      <c r="P160" s="30"/>
      <c r="Q160" s="30"/>
      <c r="R160" s="30"/>
      <c r="S160" s="30"/>
      <c r="T160" s="44">
        <f t="shared" si="23"/>
        <v>13</v>
      </c>
      <c r="U160" s="44"/>
    </row>
    <row r="161" spans="1:21" ht="14.25">
      <c r="A161" s="30"/>
      <c r="B161" s="38"/>
      <c r="C161" s="44"/>
      <c r="D161" s="46"/>
      <c r="E161" s="47" t="s">
        <v>153</v>
      </c>
      <c r="F161" s="48" t="s">
        <v>102</v>
      </c>
      <c r="G161" s="30" t="s">
        <v>154</v>
      </c>
      <c r="H161" s="30"/>
      <c r="I161" s="30"/>
      <c r="J161" s="30"/>
      <c r="K161" s="30"/>
      <c r="L161" s="30"/>
      <c r="M161" s="30"/>
      <c r="N161" s="30"/>
      <c r="O161" s="30"/>
      <c r="P161" s="30"/>
      <c r="Q161" s="30"/>
      <c r="R161" s="30"/>
      <c r="S161" s="30"/>
      <c r="T161" s="44">
        <f t="shared" si="23"/>
        <v>14</v>
      </c>
      <c r="U161" s="44"/>
    </row>
    <row r="162" spans="1:21" ht="14.25">
      <c r="A162" s="30"/>
      <c r="B162" s="30"/>
      <c r="C162" s="44"/>
      <c r="D162" s="46"/>
      <c r="E162" s="47" t="s">
        <v>155</v>
      </c>
      <c r="F162" s="48" t="s">
        <v>102</v>
      </c>
      <c r="G162" s="30" t="s">
        <v>156</v>
      </c>
      <c r="H162" s="30"/>
      <c r="I162" s="30"/>
      <c r="J162" s="30"/>
      <c r="K162" s="30"/>
      <c r="L162" s="30"/>
      <c r="M162" s="30"/>
      <c r="N162" s="30"/>
      <c r="O162" s="30"/>
      <c r="P162" s="30"/>
      <c r="Q162" s="30"/>
      <c r="R162" s="30"/>
      <c r="S162" s="30"/>
      <c r="T162" s="44">
        <f t="shared" si="23"/>
        <v>15</v>
      </c>
      <c r="U162" s="44"/>
    </row>
    <row r="163" spans="1:21" ht="14.25">
      <c r="A163" s="30"/>
      <c r="B163" s="30"/>
      <c r="C163" s="44"/>
      <c r="D163" s="46"/>
      <c r="E163" s="47"/>
      <c r="F163" s="48"/>
      <c r="G163" s="30" t="s">
        <v>157</v>
      </c>
      <c r="H163" s="30"/>
      <c r="I163" s="30"/>
      <c r="J163" s="30"/>
      <c r="K163" s="30"/>
      <c r="L163" s="30"/>
      <c r="M163" s="30"/>
      <c r="N163" s="30"/>
      <c r="O163" s="30"/>
      <c r="P163" s="30"/>
      <c r="Q163" s="30"/>
      <c r="R163" s="30"/>
      <c r="S163" s="30"/>
      <c r="T163" s="44">
        <f t="shared" si="23"/>
        <v>16</v>
      </c>
      <c r="U163" s="44"/>
    </row>
    <row r="164" spans="1:21" ht="14.25">
      <c r="A164" s="30"/>
      <c r="B164" s="30"/>
      <c r="C164" s="44"/>
      <c r="D164" s="46"/>
      <c r="E164" s="47"/>
      <c r="F164" s="48"/>
      <c r="G164" s="30" t="s">
        <v>158</v>
      </c>
      <c r="H164" s="30"/>
      <c r="I164" s="30"/>
      <c r="J164" s="30"/>
      <c r="K164" s="30"/>
      <c r="L164" s="30"/>
      <c r="M164" s="30"/>
      <c r="N164" s="30"/>
      <c r="O164" s="30"/>
      <c r="P164" s="30"/>
      <c r="Q164" s="30"/>
      <c r="R164" s="30"/>
      <c r="S164" s="30"/>
      <c r="T164" s="44">
        <f t="shared" si="23"/>
        <v>17</v>
      </c>
      <c r="U164" s="44"/>
    </row>
    <row r="165" spans="1:21" ht="14.25">
      <c r="A165" s="30"/>
      <c r="B165" s="30"/>
      <c r="C165" s="44"/>
      <c r="D165" s="46"/>
      <c r="E165" s="47" t="s">
        <v>149</v>
      </c>
      <c r="F165" s="48" t="s">
        <v>102</v>
      </c>
      <c r="G165" s="30" t="s">
        <v>456</v>
      </c>
      <c r="H165" s="30"/>
      <c r="I165" s="30"/>
      <c r="J165" s="30"/>
      <c r="K165" s="30"/>
      <c r="L165" s="30"/>
      <c r="M165" s="30"/>
      <c r="N165" s="30"/>
      <c r="O165" s="30"/>
      <c r="P165" s="30"/>
      <c r="Q165" s="30"/>
      <c r="R165" s="30"/>
      <c r="S165" s="30"/>
      <c r="T165" s="44">
        <f t="shared" si="23"/>
        <v>18</v>
      </c>
      <c r="U165" s="44"/>
    </row>
    <row r="166" spans="1:21" ht="14.25">
      <c r="A166" s="30"/>
      <c r="B166" s="38"/>
      <c r="C166" s="44"/>
      <c r="D166" s="46"/>
      <c r="E166" s="47" t="s">
        <v>151</v>
      </c>
      <c r="F166" s="48" t="s">
        <v>102</v>
      </c>
      <c r="G166" s="30" t="s">
        <v>159</v>
      </c>
      <c r="H166" s="30"/>
      <c r="I166" s="30"/>
      <c r="J166" s="30"/>
      <c r="K166" s="30"/>
      <c r="L166" s="30"/>
      <c r="M166" s="30"/>
      <c r="N166" s="30"/>
      <c r="O166" s="30"/>
      <c r="P166" s="30"/>
      <c r="Q166" s="30"/>
      <c r="R166" s="30"/>
      <c r="S166" s="30"/>
      <c r="T166" s="44">
        <f t="shared" si="23"/>
        <v>19</v>
      </c>
      <c r="U166" s="44"/>
    </row>
    <row r="167" spans="1:21" ht="14.25">
      <c r="A167" s="30"/>
      <c r="B167" s="38"/>
      <c r="C167" s="35" t="s">
        <v>151</v>
      </c>
      <c r="D167" s="35" t="s">
        <v>75</v>
      </c>
      <c r="E167" s="35" t="s">
        <v>160</v>
      </c>
      <c r="F167" s="35" t="s">
        <v>130</v>
      </c>
      <c r="G167" s="35" t="s">
        <v>161</v>
      </c>
      <c r="H167" s="30"/>
      <c r="I167" s="30"/>
      <c r="J167" s="30"/>
      <c r="K167" s="30"/>
      <c r="L167" s="30"/>
      <c r="M167" s="30"/>
      <c r="N167" s="30"/>
      <c r="O167" s="30"/>
      <c r="P167" s="30"/>
      <c r="Q167" s="30"/>
      <c r="R167" s="30"/>
      <c r="S167" s="30"/>
      <c r="T167" s="44">
        <f t="shared" si="23"/>
        <v>20</v>
      </c>
      <c r="U167" s="44"/>
    </row>
    <row r="168" spans="1:21" ht="14.25">
      <c r="A168" s="30"/>
      <c r="B168" s="30"/>
      <c r="C168" s="30"/>
      <c r="D168" s="30"/>
      <c r="E168" s="50" t="s">
        <v>160</v>
      </c>
      <c r="F168" s="48" t="s">
        <v>102</v>
      </c>
      <c r="G168" s="30" t="s">
        <v>46</v>
      </c>
      <c r="H168" s="30"/>
      <c r="I168" s="30"/>
      <c r="J168" s="30"/>
      <c r="K168" s="30"/>
      <c r="L168" s="30"/>
      <c r="M168" s="30"/>
      <c r="N168" s="30"/>
      <c r="O168" s="30"/>
      <c r="P168" s="30"/>
      <c r="Q168" s="30"/>
      <c r="R168" s="30"/>
      <c r="S168" s="30"/>
      <c r="T168" s="44">
        <f t="shared" si="23"/>
        <v>21</v>
      </c>
      <c r="U168" s="44"/>
    </row>
    <row r="169" spans="1:21" ht="14.25">
      <c r="A169" s="30"/>
      <c r="B169" s="30"/>
      <c r="C169" s="30"/>
      <c r="D169" s="30"/>
      <c r="E169" s="50" t="s">
        <v>161</v>
      </c>
      <c r="F169" s="48" t="s">
        <v>102</v>
      </c>
      <c r="G169" s="30" t="s">
        <v>162</v>
      </c>
      <c r="H169" s="30"/>
      <c r="I169" s="30"/>
      <c r="J169" s="30"/>
      <c r="K169" s="30"/>
      <c r="L169" s="30"/>
      <c r="M169" s="30"/>
      <c r="N169" s="30"/>
      <c r="O169" s="30"/>
      <c r="P169" s="30"/>
      <c r="Q169" s="30"/>
      <c r="R169" s="30"/>
      <c r="S169" s="30"/>
      <c r="T169" s="44">
        <f t="shared" si="23"/>
        <v>22</v>
      </c>
      <c r="U169" s="44"/>
    </row>
    <row r="170" spans="1:21" ht="14.25">
      <c r="A170" s="30"/>
      <c r="B170" s="30"/>
      <c r="C170" s="30"/>
      <c r="D170" s="30"/>
      <c r="E170" s="50"/>
      <c r="F170" s="48"/>
      <c r="G170" s="30"/>
      <c r="H170" s="30"/>
      <c r="I170" s="30"/>
      <c r="J170" s="30"/>
      <c r="K170" s="30"/>
      <c r="L170" s="30"/>
      <c r="M170" s="30"/>
      <c r="N170" s="30"/>
      <c r="O170" s="30"/>
      <c r="P170" s="30"/>
      <c r="Q170" s="30"/>
      <c r="R170" s="30"/>
      <c r="S170" s="30"/>
      <c r="T170" s="44">
        <f t="shared" si="23"/>
        <v>23</v>
      </c>
      <c r="U170" s="44"/>
    </row>
    <row r="171" spans="1:21" ht="14.25">
      <c r="A171" s="30"/>
      <c r="B171" s="30"/>
      <c r="C171" s="30" t="s">
        <v>163</v>
      </c>
      <c r="D171" s="30"/>
      <c r="E171" s="48"/>
      <c r="F171" s="30"/>
      <c r="G171" s="30"/>
      <c r="H171" s="30"/>
      <c r="I171" s="30"/>
      <c r="J171" s="30"/>
      <c r="K171" s="30"/>
      <c r="L171" s="30"/>
      <c r="M171" s="30"/>
      <c r="N171" s="30"/>
      <c r="O171" s="30"/>
      <c r="P171" s="30"/>
      <c r="Q171" s="30"/>
      <c r="R171" s="30"/>
      <c r="S171" s="30"/>
      <c r="T171" s="44">
        <f t="shared" si="23"/>
        <v>24</v>
      </c>
      <c r="U171" s="44"/>
    </row>
    <row r="172" spans="1:21" ht="14.25">
      <c r="A172" s="30"/>
      <c r="B172" s="30"/>
      <c r="C172" s="318"/>
      <c r="D172" s="318"/>
      <c r="E172" s="318"/>
      <c r="F172" s="318"/>
      <c r="G172" s="319"/>
      <c r="H172" s="319"/>
      <c r="I172" s="319"/>
      <c r="J172" s="319"/>
      <c r="K172" s="319"/>
      <c r="L172" s="319"/>
      <c r="M172" s="319"/>
      <c r="N172" s="319"/>
      <c r="O172" s="319"/>
      <c r="P172" s="319"/>
      <c r="Q172" s="319"/>
      <c r="R172" s="319"/>
      <c r="S172" s="30"/>
      <c r="T172" s="44">
        <f t="shared" si="23"/>
        <v>25</v>
      </c>
      <c r="U172" s="44"/>
    </row>
    <row r="173" spans="1:21" ht="14.25">
      <c r="A173" s="30"/>
      <c r="B173" s="30"/>
      <c r="C173" s="318"/>
      <c r="D173" s="318"/>
      <c r="E173" s="318"/>
      <c r="F173" s="318"/>
      <c r="G173" s="319"/>
      <c r="H173" s="319"/>
      <c r="I173" s="319"/>
      <c r="J173" s="319"/>
      <c r="K173" s="319"/>
      <c r="L173" s="319"/>
      <c r="M173" s="319"/>
      <c r="N173" s="319"/>
      <c r="O173" s="319"/>
      <c r="P173" s="319"/>
      <c r="Q173" s="319"/>
      <c r="R173" s="319"/>
      <c r="S173" s="30"/>
      <c r="T173" s="44">
        <f t="shared" si="23"/>
        <v>26</v>
      </c>
      <c r="U173" s="44"/>
    </row>
    <row r="174" spans="1:21" ht="14.25">
      <c r="A174" s="30"/>
      <c r="B174" s="30"/>
      <c r="C174" s="40"/>
      <c r="D174" s="318"/>
      <c r="E174" s="318"/>
      <c r="F174" s="318"/>
      <c r="G174" s="313"/>
      <c r="H174" s="313"/>
      <c r="I174" s="313"/>
      <c r="J174" s="313"/>
      <c r="K174" s="313"/>
      <c r="L174" s="313"/>
      <c r="M174" s="313"/>
      <c r="N174" s="313"/>
      <c r="O174" s="313"/>
      <c r="P174" s="313"/>
      <c r="Q174" s="313"/>
      <c r="R174" s="313"/>
      <c r="S174" s="30"/>
      <c r="T174" s="44">
        <f t="shared" si="23"/>
        <v>27</v>
      </c>
      <c r="U174" s="44"/>
    </row>
    <row r="175" spans="1:21" ht="14.25">
      <c r="A175" s="30"/>
      <c r="B175" s="30"/>
      <c r="C175" s="318"/>
      <c r="D175" s="318"/>
      <c r="E175" s="318"/>
      <c r="F175" s="318"/>
      <c r="G175" s="313"/>
      <c r="H175" s="313"/>
      <c r="I175" s="313"/>
      <c r="J175" s="313"/>
      <c r="K175" s="313"/>
      <c r="L175" s="313"/>
      <c r="M175" s="313"/>
      <c r="N175" s="313"/>
      <c r="O175" s="313"/>
      <c r="P175" s="313"/>
      <c r="Q175" s="313"/>
      <c r="R175" s="313"/>
      <c r="S175" s="30"/>
      <c r="T175" s="44">
        <f t="shared" si="23"/>
        <v>28</v>
      </c>
      <c r="U175" s="44"/>
    </row>
    <row r="176" spans="1:21" ht="14.25">
      <c r="A176" s="30"/>
      <c r="B176" s="30"/>
      <c r="C176" s="318"/>
      <c r="D176" s="318"/>
      <c r="E176" s="318"/>
      <c r="F176" s="318"/>
      <c r="G176" s="313"/>
      <c r="H176" s="313"/>
      <c r="I176" s="313"/>
      <c r="J176" s="313"/>
      <c r="K176" s="313"/>
      <c r="L176" s="313"/>
      <c r="M176" s="313"/>
      <c r="N176" s="313"/>
      <c r="O176" s="313"/>
      <c r="P176" s="313"/>
      <c r="Q176" s="313"/>
      <c r="R176" s="313"/>
      <c r="S176" s="30"/>
      <c r="T176" s="44">
        <f t="shared" si="23"/>
        <v>29</v>
      </c>
      <c r="U176" s="44"/>
    </row>
    <row r="177" spans="1:21" ht="14.25">
      <c r="A177" s="30"/>
      <c r="B177" s="30"/>
      <c r="C177" s="318"/>
      <c r="D177" s="318"/>
      <c r="E177" s="318"/>
      <c r="F177" s="318"/>
      <c r="G177" s="313"/>
      <c r="H177" s="313"/>
      <c r="I177" s="313"/>
      <c r="J177" s="313"/>
      <c r="K177" s="313"/>
      <c r="L177" s="313"/>
      <c r="M177" s="313"/>
      <c r="N177" s="313"/>
      <c r="O177" s="313"/>
      <c r="P177" s="313"/>
      <c r="Q177" s="313"/>
      <c r="R177" s="313"/>
      <c r="S177" s="30"/>
      <c r="T177" s="44">
        <f t="shared" si="23"/>
        <v>30</v>
      </c>
      <c r="U177" s="44"/>
    </row>
    <row r="178" spans="1:21" ht="14.25">
      <c r="A178" s="30"/>
      <c r="B178" s="30"/>
      <c r="C178" s="320"/>
      <c r="D178" s="320"/>
      <c r="E178" s="321"/>
      <c r="F178" s="321"/>
      <c r="G178" s="319"/>
      <c r="H178" s="319"/>
      <c r="I178" s="319"/>
      <c r="J178" s="319"/>
      <c r="K178" s="319"/>
      <c r="L178" s="319"/>
      <c r="M178" s="319"/>
      <c r="N178" s="319"/>
      <c r="O178" s="319"/>
      <c r="P178" s="319"/>
      <c r="Q178" s="319"/>
      <c r="R178" s="319"/>
      <c r="S178" s="30"/>
      <c r="T178" s="44">
        <f t="shared" si="23"/>
        <v>31</v>
      </c>
      <c r="U178" s="44"/>
    </row>
    <row r="179" spans="1:21" ht="14.25">
      <c r="A179" s="30"/>
      <c r="B179" s="30"/>
      <c r="C179" s="320"/>
      <c r="D179" s="320"/>
      <c r="E179" s="321"/>
      <c r="F179" s="321"/>
      <c r="G179" s="319"/>
      <c r="H179" s="319"/>
      <c r="I179" s="319"/>
      <c r="J179" s="319"/>
      <c r="K179" s="319"/>
      <c r="L179" s="319"/>
      <c r="M179" s="319"/>
      <c r="N179" s="319"/>
      <c r="O179" s="319"/>
      <c r="P179" s="319"/>
      <c r="Q179" s="319"/>
      <c r="R179" s="319"/>
      <c r="S179" s="30"/>
      <c r="T179" s="44">
        <f t="shared" si="23"/>
        <v>32</v>
      </c>
      <c r="U179" s="44"/>
    </row>
    <row r="180" spans="1:21" ht="14.25">
      <c r="A180" s="30"/>
      <c r="B180" s="30"/>
      <c r="C180" s="318"/>
      <c r="D180" s="318"/>
      <c r="E180" s="318"/>
      <c r="F180" s="318"/>
      <c r="G180" s="319"/>
      <c r="H180" s="319"/>
      <c r="I180" s="319"/>
      <c r="J180" s="319"/>
      <c r="K180" s="319"/>
      <c r="L180" s="319"/>
      <c r="M180" s="319"/>
      <c r="N180" s="319"/>
      <c r="O180" s="319"/>
      <c r="P180" s="319"/>
      <c r="Q180" s="319"/>
      <c r="R180" s="319"/>
      <c r="S180" s="30"/>
      <c r="T180" s="44">
        <f t="shared" si="23"/>
        <v>33</v>
      </c>
      <c r="U180" s="44"/>
    </row>
    <row r="181" spans="1:21" ht="14.25">
      <c r="A181" s="30"/>
      <c r="B181" s="30"/>
      <c r="C181" s="318"/>
      <c r="D181" s="318"/>
      <c r="E181" s="318"/>
      <c r="F181" s="318"/>
      <c r="G181" s="319"/>
      <c r="H181" s="319"/>
      <c r="I181" s="319"/>
      <c r="J181" s="319"/>
      <c r="K181" s="319"/>
      <c r="L181" s="319"/>
      <c r="M181" s="319"/>
      <c r="N181" s="319"/>
      <c r="O181" s="319"/>
      <c r="P181" s="319"/>
      <c r="Q181" s="319"/>
      <c r="R181" s="319"/>
      <c r="S181" s="30"/>
      <c r="T181" s="44">
        <f t="shared" si="23"/>
        <v>34</v>
      </c>
      <c r="U181" s="44"/>
    </row>
    <row r="182" spans="1:21" ht="14.25">
      <c r="A182" s="30"/>
      <c r="B182" s="30"/>
      <c r="C182" s="318"/>
      <c r="D182" s="318"/>
      <c r="E182" s="318"/>
      <c r="F182" s="318"/>
      <c r="G182" s="319"/>
      <c r="H182" s="319"/>
      <c r="I182" s="319"/>
      <c r="J182" s="319"/>
      <c r="K182" s="319"/>
      <c r="L182" s="319"/>
      <c r="M182" s="319"/>
      <c r="N182" s="319"/>
      <c r="O182" s="319"/>
      <c r="P182" s="319"/>
      <c r="Q182" s="319"/>
      <c r="R182" s="319"/>
      <c r="S182" s="30"/>
      <c r="T182" s="44">
        <f t="shared" si="23"/>
        <v>35</v>
      </c>
      <c r="U182" s="44"/>
    </row>
    <row r="183" spans="1:21" ht="14.25">
      <c r="A183" s="30"/>
      <c r="B183" s="30"/>
      <c r="C183" s="318"/>
      <c r="D183" s="318"/>
      <c r="E183" s="318"/>
      <c r="F183" s="318"/>
      <c r="G183" s="319"/>
      <c r="H183" s="319"/>
      <c r="I183" s="319"/>
      <c r="J183" s="319"/>
      <c r="K183" s="319"/>
      <c r="L183" s="319"/>
      <c r="M183" s="319"/>
      <c r="N183" s="319"/>
      <c r="O183" s="319"/>
      <c r="P183" s="319"/>
      <c r="Q183" s="319"/>
      <c r="R183" s="319"/>
      <c r="S183" s="30"/>
      <c r="T183" s="44">
        <f t="shared" si="23"/>
        <v>36</v>
      </c>
      <c r="U183" s="44"/>
    </row>
    <row r="184" spans="1:21" ht="14.25">
      <c r="A184" s="30"/>
      <c r="B184" s="30"/>
      <c r="C184" s="318"/>
      <c r="D184" s="318"/>
      <c r="E184" s="318"/>
      <c r="F184" s="318"/>
      <c r="G184" s="322"/>
      <c r="H184" s="322"/>
      <c r="I184" s="322"/>
      <c r="J184" s="322"/>
      <c r="K184" s="322"/>
      <c r="L184" s="322"/>
      <c r="M184" s="322"/>
      <c r="N184" s="322"/>
      <c r="O184" s="322"/>
      <c r="P184" s="322"/>
      <c r="Q184" s="322"/>
      <c r="R184" s="322"/>
      <c r="S184" s="30"/>
      <c r="T184" s="44">
        <f t="shared" si="23"/>
        <v>37</v>
      </c>
      <c r="U184" s="44"/>
    </row>
    <row r="185" spans="1:21" ht="14.25">
      <c r="A185" s="30"/>
      <c r="B185" s="30"/>
      <c r="C185" s="318"/>
      <c r="D185" s="318"/>
      <c r="E185" s="318"/>
      <c r="F185" s="318"/>
      <c r="G185" s="319"/>
      <c r="H185" s="319"/>
      <c r="I185" s="319"/>
      <c r="J185" s="319"/>
      <c r="K185" s="319"/>
      <c r="L185" s="319"/>
      <c r="M185" s="319"/>
      <c r="N185" s="319"/>
      <c r="O185" s="319"/>
      <c r="P185" s="319"/>
      <c r="Q185" s="319"/>
      <c r="R185" s="319"/>
      <c r="S185" s="30"/>
      <c r="T185" s="44">
        <f t="shared" si="23"/>
        <v>38</v>
      </c>
      <c r="U185" s="44"/>
    </row>
    <row r="186" spans="1:21" ht="14.25">
      <c r="A186" s="30"/>
      <c r="B186" s="30"/>
      <c r="C186" s="30"/>
      <c r="D186" s="30"/>
      <c r="E186" s="30"/>
      <c r="F186" s="30"/>
      <c r="G186" s="30"/>
      <c r="H186" s="30"/>
      <c r="I186" s="30"/>
      <c r="J186" s="30"/>
      <c r="K186" s="30"/>
      <c r="L186" s="30"/>
      <c r="M186" s="30"/>
      <c r="N186" s="30"/>
      <c r="O186" s="30"/>
      <c r="P186" s="30"/>
      <c r="Q186" s="30"/>
      <c r="R186" s="30"/>
      <c r="S186" s="30"/>
      <c r="T186" s="44">
        <f t="shared" si="23"/>
        <v>39</v>
      </c>
      <c r="U186" s="44"/>
    </row>
    <row r="187" spans="1:21" ht="14.25">
      <c r="A187" s="30"/>
      <c r="B187" s="30" t="s">
        <v>174</v>
      </c>
      <c r="C187" s="30"/>
      <c r="D187" s="30"/>
      <c r="E187" s="30"/>
      <c r="F187" s="38"/>
      <c r="G187" s="38"/>
      <c r="H187" s="38"/>
      <c r="I187" s="38"/>
      <c r="J187" s="38"/>
      <c r="K187" s="38"/>
      <c r="L187" s="38"/>
      <c r="M187" s="38"/>
      <c r="N187" s="38"/>
      <c r="O187" s="38"/>
      <c r="P187" s="38"/>
      <c r="Q187" s="38"/>
      <c r="R187" s="38"/>
      <c r="S187" s="38"/>
      <c r="T187" s="44">
        <f t="shared" si="23"/>
        <v>40</v>
      </c>
      <c r="U187" s="44"/>
    </row>
    <row r="188" spans="1:21" ht="16.5">
      <c r="A188" s="30"/>
      <c r="B188" s="30"/>
      <c r="C188" s="30" t="s">
        <v>99</v>
      </c>
      <c r="D188" s="35" t="s">
        <v>75</v>
      </c>
      <c r="E188" s="459" t="s">
        <v>175</v>
      </c>
      <c r="F188" s="459"/>
      <c r="G188" s="48" t="s">
        <v>116</v>
      </c>
      <c r="H188" s="38" t="s">
        <v>176</v>
      </c>
      <c r="I188" s="38"/>
      <c r="J188" s="38"/>
      <c r="K188" s="44"/>
      <c r="L188" s="44"/>
      <c r="M188" s="38"/>
      <c r="N188" s="38"/>
      <c r="O188" s="38"/>
      <c r="P188" s="38"/>
      <c r="Q188" s="38"/>
      <c r="R188" s="38"/>
      <c r="S188" s="38"/>
      <c r="T188" s="44">
        <f t="shared" si="23"/>
        <v>41</v>
      </c>
      <c r="U188" s="44"/>
    </row>
    <row r="189" spans="1:21" ht="14.25">
      <c r="A189" s="30"/>
      <c r="B189" s="30"/>
      <c r="C189" s="30"/>
      <c r="D189" s="35" t="s">
        <v>75</v>
      </c>
      <c r="E189" s="459">
        <f>SUMPRODUCT(Q156:Q156,Q151:Q151)</f>
        <v>-1.0999999999999999E-2</v>
      </c>
      <c r="F189" s="459"/>
      <c r="G189" s="48" t="s">
        <v>177</v>
      </c>
      <c r="H189" s="38">
        <v>10</v>
      </c>
      <c r="I189" s="48" t="s">
        <v>130</v>
      </c>
      <c r="J189" s="469">
        <f>N126</f>
        <v>0</v>
      </c>
      <c r="K189" s="830"/>
      <c r="L189" s="48" t="s">
        <v>130</v>
      </c>
      <c r="M189" s="536">
        <f>$G$15/10000</f>
        <v>0</v>
      </c>
      <c r="N189" s="536"/>
      <c r="O189" s="35" t="s">
        <v>178</v>
      </c>
      <c r="P189" s="536" t="e">
        <f>ROUNDDOWN(E189/(H189*J189*M189),2)</f>
        <v>#DIV/0!</v>
      </c>
      <c r="Q189" s="536"/>
      <c r="R189" s="38" t="s">
        <v>59</v>
      </c>
      <c r="S189" s="38"/>
      <c r="T189" s="44">
        <f t="shared" si="23"/>
        <v>42</v>
      </c>
      <c r="U189" s="44"/>
    </row>
    <row r="190" spans="1:21" ht="14.25">
      <c r="A190" s="30"/>
      <c r="B190" s="30"/>
      <c r="C190" s="30"/>
      <c r="D190" s="30"/>
      <c r="E190" s="30"/>
      <c r="F190" s="38"/>
      <c r="G190" s="38"/>
      <c r="H190" s="38"/>
      <c r="I190" s="38"/>
      <c r="J190" s="38"/>
      <c r="K190" s="38"/>
      <c r="L190" s="38"/>
      <c r="M190" s="38"/>
      <c r="N190" s="38"/>
      <c r="O190" s="38"/>
      <c r="P190" s="38"/>
      <c r="Q190" s="38"/>
      <c r="R190" s="38"/>
      <c r="S190" s="38"/>
      <c r="T190" s="44">
        <f t="shared" si="23"/>
        <v>43</v>
      </c>
      <c r="U190" s="44"/>
    </row>
    <row r="191" spans="1:21" ht="14.25">
      <c r="A191" s="134" t="s">
        <v>179</v>
      </c>
      <c r="B191" s="30"/>
      <c r="C191" s="30"/>
      <c r="D191" s="30"/>
      <c r="E191" s="30"/>
      <c r="F191" s="30"/>
      <c r="G191" s="30"/>
      <c r="H191" s="30"/>
      <c r="I191" s="30"/>
      <c r="J191" s="30"/>
      <c r="K191" s="30"/>
      <c r="L191" s="30"/>
      <c r="M191" s="30"/>
      <c r="N191" s="30"/>
      <c r="O191" s="30"/>
      <c r="P191" s="30"/>
      <c r="Q191" s="30"/>
      <c r="R191" s="30"/>
      <c r="S191" s="30"/>
      <c r="T191" s="44">
        <f t="shared" si="23"/>
        <v>44</v>
      </c>
      <c r="U191" s="44"/>
    </row>
    <row r="192" spans="1:21" ht="14.25">
      <c r="A192" s="30"/>
      <c r="B192" s="38" t="s">
        <v>476</v>
      </c>
      <c r="C192" s="38"/>
      <c r="D192" s="38"/>
      <c r="E192" s="38"/>
      <c r="F192" s="30"/>
      <c r="G192" s="30"/>
      <c r="H192" s="30"/>
      <c r="I192" s="30"/>
      <c r="J192" s="30"/>
      <c r="K192" s="30"/>
      <c r="L192" s="30"/>
      <c r="M192" s="30"/>
      <c r="N192" s="30"/>
      <c r="O192" s="30"/>
      <c r="P192" s="30"/>
      <c r="Q192" s="30"/>
      <c r="R192" s="30"/>
      <c r="S192" s="30"/>
      <c r="T192" s="44">
        <f t="shared" si="23"/>
        <v>45</v>
      </c>
      <c r="U192" s="44"/>
    </row>
    <row r="193" spans="1:21" ht="14.25">
      <c r="A193" s="30"/>
      <c r="B193" s="30"/>
      <c r="C193" s="30"/>
      <c r="D193" s="30"/>
      <c r="E193" s="30"/>
      <c r="F193" s="30"/>
      <c r="G193" s="30"/>
      <c r="H193" s="30"/>
      <c r="I193" s="30"/>
      <c r="J193" s="30"/>
      <c r="K193" s="30"/>
      <c r="L193" s="30"/>
      <c r="M193" s="30"/>
      <c r="N193" s="30"/>
      <c r="O193" s="30"/>
      <c r="P193" s="30"/>
      <c r="Q193" s="30"/>
      <c r="R193" s="30"/>
      <c r="S193" s="30"/>
      <c r="T193" s="44">
        <f t="shared" si="23"/>
        <v>46</v>
      </c>
      <c r="U193" s="44"/>
    </row>
    <row r="194" spans="1:21" ht="14.25">
      <c r="A194" s="30"/>
      <c r="B194" s="44"/>
      <c r="C194" s="356"/>
      <c r="D194" s="356"/>
      <c r="E194" s="30"/>
      <c r="F194" s="30"/>
      <c r="G194" s="404" t="s">
        <v>742</v>
      </c>
      <c r="H194" s="39" t="s">
        <v>181</v>
      </c>
      <c r="I194" s="470">
        <f>$AT$59</f>
        <v>1695</v>
      </c>
      <c r="J194" s="470"/>
      <c r="K194" s="30" t="s">
        <v>742</v>
      </c>
      <c r="L194" s="39" t="s">
        <v>182</v>
      </c>
      <c r="M194" s="470">
        <f>$AX$60</f>
        <v>10</v>
      </c>
      <c r="N194" s="470"/>
      <c r="O194" s="30" t="s">
        <v>742</v>
      </c>
      <c r="P194" s="36" t="s">
        <v>183</v>
      </c>
      <c r="Q194" s="438">
        <f>$AV$60</f>
        <v>0.75</v>
      </c>
      <c r="R194" s="438"/>
      <c r="S194" s="30"/>
      <c r="T194" s="44">
        <f t="shared" si="23"/>
        <v>47</v>
      </c>
      <c r="U194" s="44"/>
    </row>
    <row r="195" spans="1:21" ht="14.25">
      <c r="A195" s="30"/>
      <c r="B195" s="65"/>
      <c r="C195" s="356"/>
      <c r="D195" s="356"/>
      <c r="E195" s="69"/>
      <c r="F195" s="355"/>
      <c r="G195" s="327"/>
      <c r="H195" s="327"/>
      <c r="I195" s="327"/>
      <c r="J195" s="327"/>
      <c r="K195" s="327"/>
      <c r="L195" s="327"/>
      <c r="M195" s="327"/>
      <c r="N195" s="327"/>
      <c r="O195" s="327"/>
      <c r="P195" s="327"/>
      <c r="Q195" s="327"/>
      <c r="R195" s="30"/>
      <c r="S195" s="30"/>
      <c r="T195" s="44">
        <f t="shared" si="23"/>
        <v>48</v>
      </c>
      <c r="U195" s="44"/>
    </row>
    <row r="196" spans="1:21" ht="14.25">
      <c r="A196" s="30"/>
      <c r="B196" s="38" t="s">
        <v>184</v>
      </c>
      <c r="C196" s="38"/>
      <c r="D196" s="38"/>
      <c r="E196" s="38"/>
      <c r="F196" s="30"/>
      <c r="G196" s="30"/>
      <c r="H196" s="30"/>
      <c r="I196" s="30"/>
      <c r="J196" s="30"/>
      <c r="K196" s="30"/>
      <c r="L196" s="30"/>
      <c r="M196" s="30"/>
      <c r="N196" s="30"/>
      <c r="O196" s="30"/>
      <c r="P196" s="30"/>
      <c r="Q196" s="30"/>
      <c r="R196" s="30"/>
      <c r="S196" s="30"/>
      <c r="T196" s="44">
        <f t="shared" si="23"/>
        <v>49</v>
      </c>
      <c r="U196" s="44"/>
    </row>
    <row r="197" spans="1:21" ht="14.25">
      <c r="A197" s="30"/>
      <c r="B197" s="38"/>
      <c r="C197" s="38"/>
      <c r="D197" s="38"/>
      <c r="E197" s="38"/>
      <c r="F197" s="30"/>
      <c r="G197" s="30"/>
      <c r="H197" s="30"/>
      <c r="I197" s="30"/>
      <c r="J197" s="30"/>
      <c r="K197" s="30"/>
      <c r="L197" s="30"/>
      <c r="M197" s="30"/>
      <c r="N197" s="30"/>
      <c r="O197" s="30"/>
      <c r="P197" s="30"/>
      <c r="Q197" s="30"/>
      <c r="R197" s="30"/>
      <c r="S197" s="30"/>
      <c r="T197" s="44">
        <f t="shared" si="23"/>
        <v>50</v>
      </c>
      <c r="U197" s="44"/>
    </row>
    <row r="198" spans="1:21" ht="14.25">
      <c r="A198" s="30"/>
      <c r="B198" s="51"/>
      <c r="C198" s="51"/>
      <c r="D198" s="356"/>
      <c r="E198" s="366"/>
      <c r="F198" s="30"/>
      <c r="G198" s="30"/>
      <c r="H198" s="30"/>
      <c r="I198" s="30"/>
      <c r="J198" s="356"/>
      <c r="K198" s="349"/>
      <c r="L198" s="356"/>
      <c r="M198" s="356"/>
      <c r="N198" s="356"/>
      <c r="O198" s="356"/>
      <c r="P198" s="356"/>
      <c r="Q198" s="356"/>
      <c r="R198" s="349"/>
      <c r="S198" s="429"/>
      <c r="T198" s="44">
        <f t="shared" si="23"/>
        <v>51</v>
      </c>
      <c r="U198" s="44"/>
    </row>
    <row r="199" spans="1:21" ht="14.25">
      <c r="A199" s="30"/>
      <c r="B199" s="51"/>
      <c r="C199" s="51"/>
      <c r="D199" s="356"/>
      <c r="E199" s="356"/>
      <c r="F199" s="69"/>
      <c r="G199" s="355"/>
      <c r="H199" s="69"/>
      <c r="I199" s="69"/>
      <c r="J199" s="356"/>
      <c r="K199" s="353"/>
      <c r="L199" s="356"/>
      <c r="M199" s="356"/>
      <c r="N199" s="356"/>
      <c r="O199" s="356"/>
      <c r="P199" s="356"/>
      <c r="Q199" s="356"/>
      <c r="R199" s="349"/>
      <c r="S199" s="429"/>
      <c r="T199" s="44">
        <f t="shared" si="23"/>
        <v>52</v>
      </c>
      <c r="U199" s="44"/>
    </row>
    <row r="200" spans="1:21" ht="14.25">
      <c r="A200" s="30"/>
      <c r="B200" s="30"/>
      <c r="C200" s="30"/>
      <c r="D200" s="30"/>
      <c r="E200" s="30"/>
      <c r="F200" s="354"/>
      <c r="G200" s="354"/>
      <c r="H200" s="354"/>
      <c r="I200" s="30"/>
      <c r="J200" s="30"/>
      <c r="K200" s="30"/>
      <c r="L200" s="30"/>
      <c r="M200" s="30"/>
      <c r="N200" s="30"/>
      <c r="O200" s="30"/>
      <c r="P200" s="30"/>
      <c r="Q200" s="30"/>
      <c r="R200" s="30"/>
      <c r="S200" s="30"/>
      <c r="T200" s="44">
        <f t="shared" si="23"/>
        <v>53</v>
      </c>
      <c r="U200" s="44"/>
    </row>
    <row r="201" spans="1:21" ht="14.25">
      <c r="A201" s="30"/>
      <c r="B201" s="30"/>
      <c r="C201" s="30"/>
      <c r="D201" s="356"/>
      <c r="E201" s="366"/>
      <c r="F201" s="30"/>
      <c r="G201" s="30"/>
      <c r="H201" s="30"/>
      <c r="I201" s="30"/>
      <c r="J201" s="356"/>
      <c r="K201" s="349"/>
      <c r="L201" s="356"/>
      <c r="M201" s="356"/>
      <c r="N201" s="351"/>
      <c r="O201" s="351"/>
      <c r="P201" s="356"/>
      <c r="Q201" s="31"/>
      <c r="R201" s="30"/>
      <c r="S201" s="30"/>
      <c r="T201" s="44">
        <f t="shared" si="23"/>
        <v>54</v>
      </c>
      <c r="U201" s="44"/>
    </row>
    <row r="202" spans="1:21" ht="14.25">
      <c r="A202" s="44"/>
      <c r="B202" s="41" t="s">
        <v>186</v>
      </c>
      <c r="C202" s="44"/>
      <c r="D202" s="68"/>
      <c r="E202" s="68"/>
      <c r="F202" s="68"/>
      <c r="G202" s="67"/>
      <c r="H202" s="67"/>
      <c r="I202" s="41"/>
      <c r="J202" s="41"/>
      <c r="K202" s="41"/>
      <c r="L202" s="41"/>
      <c r="M202" s="30"/>
      <c r="N202" s="30"/>
      <c r="O202" s="30"/>
      <c r="P202" s="30"/>
      <c r="Q202" s="30"/>
      <c r="R202" s="30"/>
      <c r="S202" s="52"/>
      <c r="T202" s="44">
        <v>1</v>
      </c>
      <c r="U202" s="44"/>
    </row>
    <row r="203" spans="1:21" ht="14.25">
      <c r="A203" s="30"/>
      <c r="B203" s="68"/>
      <c r="C203" s="68"/>
      <c r="D203" s="68"/>
      <c r="E203" s="68"/>
      <c r="F203" s="67"/>
      <c r="G203" s="67"/>
      <c r="H203" s="41"/>
      <c r="I203" s="41"/>
      <c r="J203" s="41"/>
      <c r="K203" s="41"/>
      <c r="L203" s="30"/>
      <c r="M203" s="30"/>
      <c r="N203" s="30"/>
      <c r="O203" s="30"/>
      <c r="P203" s="30"/>
      <c r="Q203" s="30"/>
      <c r="R203" s="52"/>
      <c r="S203" s="52"/>
      <c r="T203" s="44">
        <f t="shared" si="23"/>
        <v>2</v>
      </c>
      <c r="U203" s="44"/>
    </row>
    <row r="204" spans="1:21" ht="14.25">
      <c r="A204" s="44"/>
      <c r="B204" s="44"/>
      <c r="C204" s="501"/>
      <c r="D204" s="432"/>
      <c r="E204" s="432"/>
      <c r="F204" s="432"/>
      <c r="G204" s="436"/>
      <c r="H204" s="436"/>
      <c r="I204" s="436"/>
      <c r="J204" s="436"/>
      <c r="K204" s="436"/>
      <c r="L204" s="436"/>
      <c r="M204" s="436"/>
      <c r="N204" s="524"/>
      <c r="O204" s="349"/>
      <c r="P204" s="524"/>
      <c r="Q204" s="484"/>
      <c r="R204" s="432"/>
      <c r="S204" s="471"/>
      <c r="T204" s="44">
        <f t="shared" si="23"/>
        <v>3</v>
      </c>
      <c r="U204" s="44"/>
    </row>
    <row r="205" spans="1:21" ht="14.25">
      <c r="A205" s="44"/>
      <c r="B205" s="44"/>
      <c r="C205" s="523"/>
      <c r="D205" s="432"/>
      <c r="E205" s="432"/>
      <c r="F205" s="432"/>
      <c r="G205" s="483"/>
      <c r="H205" s="483"/>
      <c r="I205" s="483"/>
      <c r="J205" s="483"/>
      <c r="K205" s="483"/>
      <c r="L205" s="483"/>
      <c r="M205" s="483"/>
      <c r="N205" s="524"/>
      <c r="O205" s="353"/>
      <c r="P205" s="524"/>
      <c r="Q205" s="484"/>
      <c r="R205" s="432"/>
      <c r="S205" s="432"/>
      <c r="T205" s="44">
        <f t="shared" si="23"/>
        <v>4</v>
      </c>
      <c r="U205" s="44"/>
    </row>
    <row r="206" spans="1:21" ht="15.75">
      <c r="A206" s="30"/>
      <c r="B206" s="30" t="s">
        <v>187</v>
      </c>
      <c r="C206" s="30"/>
      <c r="D206" s="30"/>
      <c r="E206" s="30"/>
      <c r="F206" s="44"/>
      <c r="G206" s="30"/>
      <c r="H206" s="30"/>
      <c r="I206" s="30"/>
      <c r="J206" s="30"/>
      <c r="K206" s="30"/>
      <c r="L206" s="73"/>
      <c r="M206" s="73"/>
      <c r="N206" s="30"/>
      <c r="O206" s="30"/>
      <c r="P206" s="30"/>
      <c r="Q206" s="30"/>
      <c r="R206" s="30"/>
      <c r="S206" s="30"/>
      <c r="T206" s="44">
        <f t="shared" si="23"/>
        <v>5</v>
      </c>
      <c r="U206" s="44"/>
    </row>
    <row r="207" spans="1:21" ht="14.25">
      <c r="A207" s="30"/>
      <c r="B207" s="30"/>
      <c r="C207" s="30"/>
      <c r="D207" s="30"/>
      <c r="E207" s="30"/>
      <c r="F207" s="30"/>
      <c r="G207" s="30"/>
      <c r="H207" s="30"/>
      <c r="I207" s="30"/>
      <c r="J207" s="30"/>
      <c r="K207" s="30"/>
      <c r="L207" s="73"/>
      <c r="M207" s="73"/>
      <c r="N207" s="30"/>
      <c r="O207" s="30"/>
      <c r="P207" s="30"/>
      <c r="Q207" s="30"/>
      <c r="R207" s="30"/>
      <c r="S207" s="30"/>
      <c r="T207" s="44">
        <f t="shared" si="23"/>
        <v>6</v>
      </c>
      <c r="U207" s="44"/>
    </row>
    <row r="208" spans="1:21" ht="14.25">
      <c r="A208" s="30"/>
      <c r="B208" s="30"/>
      <c r="C208" s="30"/>
      <c r="D208" s="30"/>
      <c r="E208" s="30"/>
      <c r="F208" s="67"/>
      <c r="G208" s="67"/>
      <c r="H208" s="30"/>
      <c r="I208" s="30"/>
      <c r="J208" s="30"/>
      <c r="K208" s="30"/>
      <c r="L208" s="72"/>
      <c r="M208" s="72"/>
      <c r="N208" s="30"/>
      <c r="O208" s="30"/>
      <c r="P208" s="30"/>
      <c r="Q208" s="30"/>
      <c r="R208" s="30"/>
      <c r="S208" s="30"/>
      <c r="T208" s="44">
        <f t="shared" si="23"/>
        <v>7</v>
      </c>
      <c r="U208" s="44"/>
    </row>
    <row r="209" spans="1:21" ht="14.25">
      <c r="A209" s="30"/>
      <c r="B209" s="30"/>
      <c r="C209" s="30"/>
      <c r="D209" s="30"/>
      <c r="E209" s="30"/>
      <c r="F209" s="67"/>
      <c r="G209" s="67"/>
      <c r="H209" s="30"/>
      <c r="I209" s="30"/>
      <c r="J209" s="30"/>
      <c r="K209" s="30"/>
      <c r="L209" s="72"/>
      <c r="M209" s="72"/>
      <c r="N209" s="30"/>
      <c r="O209" s="30"/>
      <c r="P209" s="30"/>
      <c r="Q209" s="30"/>
      <c r="R209" s="30"/>
      <c r="S209" s="30"/>
      <c r="T209" s="44">
        <f t="shared" ref="T209:T244" si="24">T208+1</f>
        <v>8</v>
      </c>
      <c r="U209" s="44"/>
    </row>
    <row r="210" spans="1:21" ht="15.75">
      <c r="A210" s="30"/>
      <c r="B210" s="30" t="s">
        <v>188</v>
      </c>
      <c r="C210" s="30"/>
      <c r="D210" s="30"/>
      <c r="E210" s="30"/>
      <c r="F210" s="30"/>
      <c r="G210" s="30"/>
      <c r="H210" s="30"/>
      <c r="I210" s="30"/>
      <c r="J210" s="30"/>
      <c r="K210" s="30"/>
      <c r="L210" s="73"/>
      <c r="M210" s="73"/>
      <c r="N210" s="30"/>
      <c r="O210" s="30"/>
      <c r="P210" s="30"/>
      <c r="Q210" s="30"/>
      <c r="R210" s="30"/>
      <c r="S210" s="30"/>
      <c r="T210" s="44">
        <f t="shared" si="24"/>
        <v>9</v>
      </c>
      <c r="U210" s="44"/>
    </row>
    <row r="211" spans="1:21" ht="14.25">
      <c r="A211" s="30"/>
      <c r="B211" s="30"/>
      <c r="C211" s="30"/>
      <c r="D211" s="30"/>
      <c r="E211" s="30"/>
      <c r="F211" s="30"/>
      <c r="G211" s="30"/>
      <c r="H211" s="30"/>
      <c r="I211" s="30"/>
      <c r="J211" s="30"/>
      <c r="K211" s="30"/>
      <c r="L211" s="73"/>
      <c r="M211" s="73"/>
      <c r="N211" s="30"/>
      <c r="O211" s="30"/>
      <c r="P211" s="30"/>
      <c r="Q211" s="30"/>
      <c r="R211" s="30"/>
      <c r="S211" s="30"/>
      <c r="T211" s="44">
        <f t="shared" si="24"/>
        <v>10</v>
      </c>
      <c r="U211" s="44"/>
    </row>
    <row r="212" spans="1:21" ht="14.25">
      <c r="A212" s="30"/>
      <c r="B212" s="30"/>
      <c r="C212" s="30"/>
      <c r="D212" s="31"/>
      <c r="E212" s="31"/>
      <c r="F212" s="30"/>
      <c r="G212" s="30"/>
      <c r="H212" s="30"/>
      <c r="I212" s="30"/>
      <c r="J212" s="30"/>
      <c r="K212" s="30"/>
      <c r="L212" s="352"/>
      <c r="M212" s="351"/>
      <c r="N212" s="31"/>
      <c r="O212" s="31"/>
      <c r="P212" s="30"/>
      <c r="Q212" s="30"/>
      <c r="R212" s="30"/>
      <c r="S212" s="30"/>
      <c r="T212" s="44">
        <f t="shared" si="24"/>
        <v>11</v>
      </c>
      <c r="U212" s="44"/>
    </row>
    <row r="213" spans="1:21" ht="14.25">
      <c r="A213" s="30"/>
      <c r="B213" s="44"/>
      <c r="C213" s="74"/>
      <c r="D213" s="31"/>
      <c r="E213" s="31"/>
      <c r="F213" s="69"/>
      <c r="G213" s="69"/>
      <c r="H213" s="69"/>
      <c r="I213" s="69"/>
      <c r="J213" s="69"/>
      <c r="K213" s="69"/>
      <c r="L213" s="352"/>
      <c r="M213" s="351"/>
      <c r="N213" s="31"/>
      <c r="O213" s="31"/>
      <c r="P213" s="44"/>
      <c r="Q213" s="30"/>
      <c r="R213" s="44"/>
      <c r="S213" s="74"/>
      <c r="T213" s="44">
        <f t="shared" si="24"/>
        <v>12</v>
      </c>
      <c r="U213" s="44"/>
    </row>
    <row r="214" spans="1:21" ht="14.25">
      <c r="A214" s="30"/>
      <c r="B214" s="30"/>
      <c r="C214" s="30"/>
      <c r="D214" s="30"/>
      <c r="E214" s="30"/>
      <c r="F214" s="30"/>
      <c r="G214" s="30"/>
      <c r="H214" s="75"/>
      <c r="I214" s="75"/>
      <c r="J214" s="75"/>
      <c r="K214" s="75"/>
      <c r="L214" s="30"/>
      <c r="M214" s="30"/>
      <c r="N214" s="30"/>
      <c r="O214" s="30"/>
      <c r="P214" s="30"/>
      <c r="Q214" s="30"/>
      <c r="R214" s="30"/>
      <c r="S214" s="30"/>
      <c r="T214" s="44">
        <f t="shared" si="24"/>
        <v>13</v>
      </c>
      <c r="U214" s="44"/>
    </row>
    <row r="215" spans="1:21" ht="14.25">
      <c r="A215" s="30"/>
      <c r="B215" s="44"/>
      <c r="C215" s="39"/>
      <c r="D215" s="39" t="s">
        <v>98</v>
      </c>
      <c r="E215" s="48" t="s">
        <v>75</v>
      </c>
      <c r="F215" s="439" t="s">
        <v>366</v>
      </c>
      <c r="G215" s="438"/>
      <c r="H215" s="47" t="s">
        <v>189</v>
      </c>
      <c r="I215" s="48"/>
      <c r="J215" s="39" t="s">
        <v>99</v>
      </c>
      <c r="K215" s="48" t="s">
        <v>75</v>
      </c>
      <c r="L215" s="438" t="e">
        <f>$P$189</f>
        <v>#DIV/0!</v>
      </c>
      <c r="M215" s="438"/>
      <c r="N215" s="47" t="s">
        <v>190</v>
      </c>
      <c r="O215" s="30"/>
      <c r="P215" s="38"/>
      <c r="Q215" s="30"/>
      <c r="R215" s="30"/>
      <c r="S215" s="30"/>
      <c r="T215" s="44">
        <f t="shared" si="24"/>
        <v>14</v>
      </c>
      <c r="U215" s="44"/>
    </row>
    <row r="216" spans="1:21" ht="14.25">
      <c r="A216" s="30"/>
      <c r="B216" s="39"/>
      <c r="C216" s="39"/>
      <c r="D216" s="48" t="s">
        <v>77</v>
      </c>
      <c r="E216" s="48" t="s">
        <v>75</v>
      </c>
      <c r="F216" s="438" t="e">
        <f>AO50</f>
        <v>#VALUE!</v>
      </c>
      <c r="G216" s="438"/>
      <c r="H216" s="38" t="s">
        <v>729</v>
      </c>
      <c r="I216" s="48" t="s">
        <v>191</v>
      </c>
      <c r="J216" s="48" t="s">
        <v>75</v>
      </c>
      <c r="K216" s="438" t="e">
        <f>-AU50</f>
        <v>#VALUE!</v>
      </c>
      <c r="L216" s="438"/>
      <c r="M216" s="38" t="s">
        <v>729</v>
      </c>
      <c r="N216" s="48" t="s">
        <v>79</v>
      </c>
      <c r="O216" s="48" t="s">
        <v>75</v>
      </c>
      <c r="P216" s="470" t="e">
        <f>AY50</f>
        <v>#VALUE!</v>
      </c>
      <c r="Q216" s="470"/>
      <c r="R216" s="470"/>
      <c r="S216" s="30"/>
      <c r="T216" s="44">
        <f t="shared" si="24"/>
        <v>15</v>
      </c>
      <c r="U216" s="44"/>
    </row>
    <row r="217" spans="1:21" ht="14.25">
      <c r="A217" s="30"/>
      <c r="B217" s="37"/>
      <c r="C217" s="37"/>
      <c r="D217" s="37"/>
      <c r="E217" s="39"/>
      <c r="F217" s="42"/>
      <c r="G217" s="42"/>
      <c r="H217" s="38"/>
      <c r="I217" s="38"/>
      <c r="J217" s="38"/>
      <c r="K217" s="38"/>
      <c r="L217" s="38"/>
      <c r="M217" s="38"/>
      <c r="N217" s="30"/>
      <c r="O217" s="30"/>
      <c r="P217" s="30"/>
      <c r="Q217" s="30"/>
      <c r="R217" s="51"/>
      <c r="S217" s="51"/>
      <c r="T217" s="44">
        <f t="shared" si="24"/>
        <v>16</v>
      </c>
      <c r="U217" s="44"/>
    </row>
    <row r="218" spans="1:21" ht="14.25">
      <c r="A218" s="30"/>
      <c r="B218" s="429" t="s">
        <v>192</v>
      </c>
      <c r="C218" s="429" t="s">
        <v>75</v>
      </c>
      <c r="D218" s="429" t="s">
        <v>193</v>
      </c>
      <c r="E218" s="480" t="e">
        <f>-K216</f>
        <v>#VALUE!</v>
      </c>
      <c r="F218" s="480"/>
      <c r="G218" s="76" t="s">
        <v>135</v>
      </c>
      <c r="H218" s="480" t="e">
        <f>-K216</f>
        <v>#VALUE!</v>
      </c>
      <c r="I218" s="480"/>
      <c r="J218" s="87">
        <v>2</v>
      </c>
      <c r="K218" s="509" t="e">
        <f>"－４×"&amp;F216</f>
        <v>#VALUE!</v>
      </c>
      <c r="L218" s="509"/>
      <c r="M218" s="509"/>
      <c r="N218" s="88" t="s">
        <v>130</v>
      </c>
      <c r="O218" s="509" t="e">
        <f>P216</f>
        <v>#VALUE!</v>
      </c>
      <c r="P218" s="509"/>
      <c r="Q218" s="509"/>
      <c r="R218" s="510" t="s">
        <v>131</v>
      </c>
      <c r="S218" s="94">
        <f>1/$AV$60</f>
        <v>1.3333333333333333</v>
      </c>
      <c r="T218" s="44">
        <f t="shared" si="24"/>
        <v>17</v>
      </c>
      <c r="U218" s="44"/>
    </row>
    <row r="219" spans="1:21" ht="13.5" customHeight="1">
      <c r="A219" s="30"/>
      <c r="B219" s="429"/>
      <c r="C219" s="429"/>
      <c r="D219" s="429"/>
      <c r="E219" s="512" t="e">
        <f>2*F216</f>
        <v>#VALUE!</v>
      </c>
      <c r="F219" s="512"/>
      <c r="G219" s="512"/>
      <c r="H219" s="512"/>
      <c r="I219" s="512"/>
      <c r="J219" s="512"/>
      <c r="K219" s="512"/>
      <c r="L219" s="512"/>
      <c r="M219" s="512"/>
      <c r="N219" s="512"/>
      <c r="O219" s="512"/>
      <c r="P219" s="512"/>
      <c r="Q219" s="512"/>
      <c r="R219" s="511"/>
      <c r="S219" s="77"/>
      <c r="T219" s="44">
        <f t="shared" si="24"/>
        <v>18</v>
      </c>
      <c r="U219" s="44"/>
    </row>
    <row r="220" spans="1:21" ht="13.5" customHeight="1">
      <c r="A220" s="30"/>
      <c r="B220" s="44"/>
      <c r="C220" s="29" t="s">
        <v>75</v>
      </c>
      <c r="D220" s="429" t="e">
        <f>ROUND(((E218+SQRT(H218^2-4*($P$189)*O218))/E219)^(1/$AV$60),2)</f>
        <v>#VALUE!</v>
      </c>
      <c r="E220" s="429"/>
      <c r="F220" s="77" t="s">
        <v>85</v>
      </c>
      <c r="G220" s="31"/>
      <c r="H220" s="44"/>
      <c r="I220" s="77"/>
      <c r="J220" s="77"/>
      <c r="K220" s="77"/>
      <c r="L220" s="30"/>
      <c r="M220" s="30"/>
      <c r="N220" s="30"/>
      <c r="O220" s="30"/>
      <c r="P220" s="30"/>
      <c r="Q220" s="30"/>
      <c r="R220" s="30"/>
      <c r="S220" s="30"/>
      <c r="T220" s="44">
        <f t="shared" si="24"/>
        <v>19</v>
      </c>
      <c r="U220" s="44"/>
    </row>
    <row r="221" spans="1:21" ht="13.5" customHeight="1">
      <c r="A221" s="30"/>
      <c r="B221" s="74"/>
      <c r="C221" s="74"/>
      <c r="D221" s="74"/>
      <c r="E221" s="74"/>
      <c r="F221" s="31"/>
      <c r="G221" s="31"/>
      <c r="H221" s="31"/>
      <c r="I221" s="31"/>
      <c r="J221" s="31"/>
      <c r="K221" s="31"/>
      <c r="L221" s="30"/>
      <c r="M221" s="30"/>
      <c r="N221" s="30"/>
      <c r="O221" s="30"/>
      <c r="P221" s="30"/>
      <c r="Q221" s="30"/>
      <c r="R221" s="30"/>
      <c r="S221" s="30"/>
      <c r="T221" s="44">
        <f t="shared" si="24"/>
        <v>20</v>
      </c>
      <c r="U221" s="44"/>
    </row>
    <row r="222" spans="1:21" ht="13.5" customHeight="1">
      <c r="A222" s="30"/>
      <c r="B222" s="501" t="s">
        <v>83</v>
      </c>
      <c r="C222" s="429" t="s">
        <v>75</v>
      </c>
      <c r="D222" s="502">
        <f>$AT$59</f>
        <v>1695</v>
      </c>
      <c r="E222" s="502"/>
      <c r="F222" s="502"/>
      <c r="G222" s="502"/>
      <c r="H222" s="502"/>
      <c r="I222" s="429" t="s">
        <v>75</v>
      </c>
      <c r="J222" s="427" t="e">
        <f>ROUNDUP($AT$59/($AV$53^$AV$60+$AX$60),2)</f>
        <v>#VALUE!</v>
      </c>
      <c r="K222" s="427"/>
      <c r="L222" s="499" t="s">
        <v>59</v>
      </c>
      <c r="M222" s="499"/>
      <c r="N222" s="327"/>
      <c r="O222" s="327"/>
      <c r="P222" s="327"/>
      <c r="Q222" s="327"/>
      <c r="R222" s="327"/>
      <c r="S222" s="65"/>
      <c r="T222" s="44">
        <f t="shared" si="24"/>
        <v>21</v>
      </c>
      <c r="U222" s="44"/>
    </row>
    <row r="223" spans="1:21" ht="13.5" customHeight="1">
      <c r="A223" s="30"/>
      <c r="B223" s="501"/>
      <c r="C223" s="429"/>
      <c r="D223" s="507" t="e">
        <f>ROUND($AV$53^$AV$60,3)</f>
        <v>#VALUE!</v>
      </c>
      <c r="E223" s="507"/>
      <c r="F223" s="66" t="s">
        <v>135</v>
      </c>
      <c r="G223" s="508">
        <f>$AX$60</f>
        <v>10</v>
      </c>
      <c r="H223" s="508"/>
      <c r="I223" s="429"/>
      <c r="J223" s="427"/>
      <c r="K223" s="427"/>
      <c r="L223" s="499"/>
      <c r="M223" s="499"/>
      <c r="N223" s="327"/>
      <c r="O223" s="327"/>
      <c r="P223" s="327"/>
      <c r="Q223" s="327"/>
      <c r="R223" s="327"/>
      <c r="S223" s="65"/>
      <c r="T223" s="44">
        <f t="shared" si="24"/>
        <v>22</v>
      </c>
      <c r="U223" s="44"/>
    </row>
    <row r="224" spans="1:21" ht="13.5" customHeight="1">
      <c r="A224" s="30"/>
      <c r="B224" s="30"/>
      <c r="C224" s="30"/>
      <c r="D224" s="30"/>
      <c r="E224" s="30"/>
      <c r="F224" s="78"/>
      <c r="G224" s="78"/>
      <c r="H224" s="30"/>
      <c r="I224" s="30"/>
      <c r="J224" s="30"/>
      <c r="K224" s="30"/>
      <c r="L224" s="89"/>
      <c r="M224" s="89"/>
      <c r="N224" s="90"/>
      <c r="O224" s="90"/>
      <c r="P224" s="90"/>
      <c r="Q224" s="90"/>
      <c r="R224" s="30"/>
      <c r="S224" s="30"/>
      <c r="T224" s="44">
        <f t="shared" si="24"/>
        <v>23</v>
      </c>
      <c r="U224" s="44"/>
    </row>
    <row r="225" spans="1:21" ht="13.5" customHeight="1">
      <c r="A225" s="134" t="s">
        <v>463</v>
      </c>
      <c r="B225" s="30"/>
      <c r="C225" s="30"/>
      <c r="D225" s="30"/>
      <c r="E225" s="30"/>
      <c r="F225" s="30"/>
      <c r="G225" s="30"/>
      <c r="H225" s="30"/>
      <c r="I225" s="30"/>
      <c r="J225" s="30"/>
      <c r="K225" s="30"/>
      <c r="L225" s="30"/>
      <c r="M225" s="30"/>
      <c r="N225" s="30"/>
      <c r="O225" s="30"/>
      <c r="P225" s="30"/>
      <c r="Q225" s="30"/>
      <c r="R225" s="30"/>
      <c r="S225" s="30"/>
      <c r="T225" s="44">
        <f t="shared" si="24"/>
        <v>24</v>
      </c>
      <c r="U225" s="44"/>
    </row>
    <row r="226" spans="1:21" ht="13.5" customHeight="1">
      <c r="A226" s="44"/>
      <c r="B226" s="79"/>
      <c r="C226" s="429" t="s">
        <v>194</v>
      </c>
      <c r="D226" s="503" t="s">
        <v>185</v>
      </c>
      <c r="E226" s="427" t="e">
        <f>$AO$53</f>
        <v>#VALUE!</v>
      </c>
      <c r="F226" s="427"/>
      <c r="G226" s="429" t="s">
        <v>97</v>
      </c>
      <c r="H226" s="831" t="s">
        <v>366</v>
      </c>
      <c r="I226" s="504"/>
      <c r="J226" s="506" t="e">
        <f>$P$189</f>
        <v>#DIV/0!</v>
      </c>
      <c r="K226" s="506"/>
      <c r="L226" s="498" t="e">
        <f>")×"&amp;$AV$53&amp;"×60×"&amp;$M$7&amp;"×"&amp;ROUND($G$15/10000,5)&amp;"×"</f>
        <v>#VALUE!</v>
      </c>
      <c r="M226" s="498"/>
      <c r="N226" s="498"/>
      <c r="O226" s="498"/>
      <c r="P226" s="498"/>
      <c r="Q226" s="498"/>
      <c r="R226" s="498"/>
      <c r="S226" s="34">
        <v>1</v>
      </c>
      <c r="T226" s="44">
        <f t="shared" si="24"/>
        <v>25</v>
      </c>
      <c r="U226" s="44"/>
    </row>
    <row r="227" spans="1:21" ht="13.5" customHeight="1">
      <c r="A227" s="30"/>
      <c r="B227" s="51"/>
      <c r="C227" s="429"/>
      <c r="D227" s="501"/>
      <c r="E227" s="427"/>
      <c r="F227" s="427"/>
      <c r="G227" s="429"/>
      <c r="H227" s="429">
        <v>2</v>
      </c>
      <c r="I227" s="429"/>
      <c r="J227" s="506"/>
      <c r="K227" s="506"/>
      <c r="L227" s="498"/>
      <c r="M227" s="498"/>
      <c r="N227" s="498"/>
      <c r="O227" s="498"/>
      <c r="P227" s="498"/>
      <c r="Q227" s="498"/>
      <c r="R227" s="498"/>
      <c r="S227" s="28">
        <v>360</v>
      </c>
      <c r="T227" s="44">
        <f t="shared" si="24"/>
        <v>26</v>
      </c>
      <c r="U227" s="44"/>
    </row>
    <row r="228" spans="1:21" ht="13.5" customHeight="1">
      <c r="A228" s="30"/>
      <c r="B228" s="45"/>
      <c r="C228" s="45"/>
      <c r="D228" s="28" t="s">
        <v>75</v>
      </c>
      <c r="E228" s="455" t="e">
        <f>ROUND(($AO$53-$P$189)*$AV$53*60*($M$7*$G$15/10000)/360,2)</f>
        <v>#VALUE!</v>
      </c>
      <c r="F228" s="455"/>
      <c r="G228" s="56" t="s">
        <v>76</v>
      </c>
      <c r="H228" s="80"/>
      <c r="I228" s="80"/>
      <c r="J228" s="80"/>
      <c r="K228" s="80"/>
      <c r="L228" s="80"/>
      <c r="M228" s="80"/>
      <c r="N228" s="28"/>
      <c r="O228" s="28"/>
      <c r="P228" s="44"/>
      <c r="Q228" s="44"/>
      <c r="R228" s="44"/>
      <c r="S228" s="44"/>
      <c r="T228" s="44">
        <f t="shared" si="24"/>
        <v>27</v>
      </c>
      <c r="U228" s="44"/>
    </row>
    <row r="229" spans="1:21" ht="13.5" customHeight="1">
      <c r="A229" s="30"/>
      <c r="B229" s="30"/>
      <c r="C229" s="30"/>
      <c r="D229" s="30"/>
      <c r="E229" s="30"/>
      <c r="F229" s="30"/>
      <c r="G229" s="30"/>
      <c r="H229" s="30"/>
      <c r="I229" s="30"/>
      <c r="J229" s="30"/>
      <c r="K229" s="30"/>
      <c r="L229" s="74"/>
      <c r="M229" s="74"/>
      <c r="N229" s="77"/>
      <c r="O229" s="77"/>
      <c r="P229" s="77"/>
      <c r="Q229" s="77"/>
      <c r="R229" s="77"/>
      <c r="S229" s="77"/>
      <c r="T229" s="44">
        <f t="shared" si="24"/>
        <v>28</v>
      </c>
      <c r="U229" s="44"/>
    </row>
    <row r="230" spans="1:21" ht="13.5" customHeight="1">
      <c r="A230" s="30"/>
      <c r="B230" s="30"/>
      <c r="C230" s="30"/>
      <c r="D230" s="30" t="s">
        <v>195</v>
      </c>
      <c r="E230" s="30"/>
      <c r="F230" s="30"/>
      <c r="G230" s="30"/>
      <c r="H230" s="30"/>
      <c r="I230" s="30"/>
      <c r="J230" s="30"/>
      <c r="K230" s="30"/>
      <c r="L230" s="74"/>
      <c r="M230" s="74"/>
      <c r="N230" s="77"/>
      <c r="O230" s="77"/>
      <c r="P230" s="77"/>
      <c r="Q230" s="77"/>
      <c r="R230" s="77"/>
      <c r="S230" s="77"/>
      <c r="T230" s="44">
        <f t="shared" si="24"/>
        <v>29</v>
      </c>
      <c r="U230" s="44"/>
    </row>
    <row r="231" spans="1:21" ht="13.5" customHeight="1">
      <c r="A231" s="30"/>
      <c r="B231" s="30"/>
      <c r="C231" s="30"/>
      <c r="D231" s="30"/>
      <c r="E231" s="30"/>
      <c r="F231" s="30"/>
      <c r="G231" s="30"/>
      <c r="H231" s="30"/>
      <c r="I231" s="30"/>
      <c r="J231" s="30"/>
      <c r="K231" s="30"/>
      <c r="L231" s="74"/>
      <c r="M231" s="74"/>
      <c r="N231" s="77"/>
      <c r="O231" s="77"/>
      <c r="P231" s="77"/>
      <c r="Q231" s="77"/>
      <c r="R231" s="77"/>
      <c r="S231" s="77"/>
      <c r="T231" s="44">
        <f t="shared" si="24"/>
        <v>30</v>
      </c>
      <c r="U231" s="44"/>
    </row>
    <row r="232" spans="1:21" ht="13.5" customHeight="1">
      <c r="A232" s="134" t="s">
        <v>196</v>
      </c>
      <c r="B232" s="30"/>
      <c r="C232" s="30"/>
      <c r="D232" s="30"/>
      <c r="E232" s="30"/>
      <c r="F232" s="30"/>
      <c r="G232" s="30"/>
      <c r="H232" s="30"/>
      <c r="I232" s="30"/>
      <c r="J232" s="30"/>
      <c r="K232" s="30"/>
      <c r="L232" s="30"/>
      <c r="M232" s="30"/>
      <c r="N232" s="30"/>
      <c r="O232" s="30"/>
      <c r="P232" s="30"/>
      <c r="Q232" s="30"/>
      <c r="R232" s="30"/>
      <c r="S232" s="30"/>
      <c r="T232" s="44">
        <f t="shared" si="24"/>
        <v>31</v>
      </c>
      <c r="U232" s="44"/>
    </row>
    <row r="233" spans="1:21" ht="13.5" customHeight="1">
      <c r="A233" s="30"/>
      <c r="B233" s="44"/>
      <c r="C233" s="35" t="s">
        <v>197</v>
      </c>
      <c r="D233" s="35" t="s">
        <v>75</v>
      </c>
      <c r="E233" s="438">
        <f>AS55</f>
        <v>15</v>
      </c>
      <c r="F233" s="438"/>
      <c r="G233" s="71" t="s">
        <v>130</v>
      </c>
      <c r="H233" s="479">
        <f>$G$15/10000</f>
        <v>0</v>
      </c>
      <c r="I233" s="479"/>
      <c r="J233" s="327"/>
      <c r="K233" s="327"/>
      <c r="L233" s="327"/>
      <c r="M233" s="327"/>
      <c r="N233" s="327"/>
      <c r="O233" s="327"/>
      <c r="P233" s="327"/>
      <c r="Q233" s="327"/>
      <c r="R233" s="327"/>
      <c r="S233" s="30"/>
      <c r="T233" s="44">
        <f t="shared" si="24"/>
        <v>32</v>
      </c>
      <c r="U233" s="44"/>
    </row>
    <row r="234" spans="1:21" ht="13.5" customHeight="1">
      <c r="A234" s="30"/>
      <c r="B234" s="44"/>
      <c r="C234" s="35"/>
      <c r="D234" s="71" t="s">
        <v>75</v>
      </c>
      <c r="E234" s="480">
        <f>ROUND(E233*H233,2)</f>
        <v>0</v>
      </c>
      <c r="F234" s="480"/>
      <c r="G234" s="30" t="s">
        <v>76</v>
      </c>
      <c r="H234" s="63"/>
      <c r="I234" s="71"/>
      <c r="J234" s="71"/>
      <c r="K234" s="71"/>
      <c r="L234" s="71"/>
      <c r="M234" s="71"/>
      <c r="N234" s="71"/>
      <c r="O234" s="71"/>
      <c r="P234" s="71"/>
      <c r="Q234" s="30"/>
      <c r="R234" s="30"/>
      <c r="S234" s="30"/>
      <c r="T234" s="44">
        <f t="shared" si="24"/>
        <v>33</v>
      </c>
      <c r="U234" s="44"/>
    </row>
    <row r="235" spans="1:21" ht="13.5" customHeight="1">
      <c r="A235" s="30"/>
      <c r="B235" s="30"/>
      <c r="C235" s="30"/>
      <c r="D235" s="30"/>
      <c r="E235" s="30"/>
      <c r="F235" s="30"/>
      <c r="G235" s="30"/>
      <c r="H235" s="30"/>
      <c r="I235" s="30"/>
      <c r="J235" s="30"/>
      <c r="K235" s="30"/>
      <c r="L235" s="30"/>
      <c r="M235" s="30"/>
      <c r="N235" s="30"/>
      <c r="O235" s="30"/>
      <c r="P235" s="30"/>
      <c r="Q235" s="30"/>
      <c r="R235" s="30"/>
      <c r="S235" s="30"/>
      <c r="T235" s="44">
        <f t="shared" si="24"/>
        <v>34</v>
      </c>
      <c r="U235" s="44"/>
    </row>
    <row r="236" spans="1:21" ht="13.5" customHeight="1">
      <c r="A236" s="134" t="s">
        <v>464</v>
      </c>
      <c r="B236" s="30"/>
      <c r="C236" s="30"/>
      <c r="D236" s="30"/>
      <c r="E236" s="30"/>
      <c r="F236" s="30"/>
      <c r="G236" s="30"/>
      <c r="H236" s="30"/>
      <c r="I236" s="30"/>
      <c r="J236" s="30"/>
      <c r="K236" s="30"/>
      <c r="L236" s="30"/>
      <c r="M236" s="30"/>
      <c r="N236" s="30"/>
      <c r="O236" s="30"/>
      <c r="P236" s="30"/>
      <c r="Q236" s="30"/>
      <c r="R236" s="30"/>
      <c r="S236" s="30"/>
      <c r="T236" s="44">
        <f t="shared" si="24"/>
        <v>35</v>
      </c>
      <c r="U236" s="44"/>
    </row>
    <row r="237" spans="1:21" ht="13.5" customHeight="1">
      <c r="A237" s="30"/>
      <c r="B237" s="30"/>
      <c r="C237" s="35" t="s">
        <v>86</v>
      </c>
      <c r="D237" s="35" t="s">
        <v>75</v>
      </c>
      <c r="E237" s="481" t="e">
        <f>ROUND($E$228,2)</f>
        <v>#VALUE!</v>
      </c>
      <c r="F237" s="482"/>
      <c r="G237" s="92" t="s">
        <v>135</v>
      </c>
      <c r="H237" s="481">
        <f>E234</f>
        <v>0</v>
      </c>
      <c r="I237" s="482"/>
      <c r="J237" s="327"/>
      <c r="K237" s="327"/>
      <c r="L237" s="327"/>
      <c r="M237" s="327"/>
      <c r="N237" s="327"/>
      <c r="O237" s="327"/>
      <c r="P237" s="327"/>
      <c r="Q237" s="327"/>
      <c r="R237" s="327"/>
      <c r="S237" s="44"/>
      <c r="T237" s="44">
        <f t="shared" si="24"/>
        <v>36</v>
      </c>
      <c r="U237" s="44"/>
    </row>
    <row r="238" spans="1:21" ht="13.5" customHeight="1">
      <c r="A238" s="30"/>
      <c r="B238" s="30"/>
      <c r="C238" s="30"/>
      <c r="D238" s="81" t="s">
        <v>75</v>
      </c>
      <c r="E238" s="435" t="e">
        <f>E237+H237</f>
        <v>#VALUE!</v>
      </c>
      <c r="F238" s="435"/>
      <c r="G238" s="30" t="s">
        <v>76</v>
      </c>
      <c r="H238" s="347" t="e">
        <f>"（ｈａ当り "&amp;ROUND(E238/($G$15/10000),0)&amp;" m3)"</f>
        <v>#VALUE!</v>
      </c>
      <c r="I238" s="80"/>
      <c r="J238" s="80"/>
      <c r="K238" s="80"/>
      <c r="L238" s="80"/>
      <c r="M238" s="80"/>
      <c r="N238" s="30"/>
      <c r="O238" s="30"/>
      <c r="P238" s="30"/>
      <c r="Q238" s="30"/>
      <c r="R238" s="30"/>
      <c r="S238" s="30"/>
      <c r="T238" s="44">
        <f t="shared" si="24"/>
        <v>37</v>
      </c>
      <c r="U238" s="44"/>
    </row>
    <row r="239" spans="1:21" ht="13.5" customHeight="1">
      <c r="A239" s="82"/>
      <c r="B239" s="82"/>
      <c r="C239" s="82"/>
      <c r="D239" s="82"/>
      <c r="E239" s="82"/>
      <c r="F239" s="82"/>
      <c r="G239" s="82"/>
      <c r="H239" s="82"/>
      <c r="I239" s="80"/>
      <c r="J239" s="80"/>
      <c r="K239" s="80"/>
      <c r="L239" s="80"/>
      <c r="M239" s="80"/>
      <c r="N239" s="80"/>
      <c r="O239" s="82"/>
      <c r="P239" s="82"/>
      <c r="Q239" s="82"/>
      <c r="R239" s="82"/>
      <c r="S239" s="82"/>
      <c r="T239" s="44">
        <f t="shared" si="24"/>
        <v>38</v>
      </c>
      <c r="U239" s="44"/>
    </row>
    <row r="240" spans="1:21" ht="13.5" customHeight="1">
      <c r="A240" s="134" t="s">
        <v>462</v>
      </c>
      <c r="B240" s="30"/>
      <c r="C240" s="30"/>
      <c r="D240" s="30"/>
      <c r="E240" s="30"/>
      <c r="F240" s="30"/>
      <c r="G240" s="30"/>
      <c r="H240" s="30"/>
      <c r="I240" s="30"/>
      <c r="J240" s="30"/>
      <c r="K240" s="30"/>
      <c r="L240" s="30"/>
      <c r="M240" s="30"/>
      <c r="N240" s="30"/>
      <c r="O240" s="30"/>
      <c r="P240" s="30"/>
      <c r="Q240" s="30"/>
      <c r="R240" s="30"/>
      <c r="S240" s="30"/>
      <c r="T240" s="44">
        <f t="shared" si="24"/>
        <v>39</v>
      </c>
      <c r="U240" s="44"/>
    </row>
    <row r="241" spans="1:21" ht="13.5" customHeight="1">
      <c r="A241" s="30"/>
      <c r="B241" s="30"/>
      <c r="C241" s="35" t="s">
        <v>101</v>
      </c>
      <c r="D241" s="35" t="s">
        <v>75</v>
      </c>
      <c r="E241" s="436" t="s">
        <v>199</v>
      </c>
      <c r="F241" s="436"/>
      <c r="G241" s="35" t="s">
        <v>130</v>
      </c>
      <c r="H241" s="436" t="s">
        <v>200</v>
      </c>
      <c r="I241" s="436"/>
      <c r="J241" s="35" t="s">
        <v>130</v>
      </c>
      <c r="K241" s="481" t="s">
        <v>201</v>
      </c>
      <c r="L241" s="481"/>
      <c r="M241" s="35" t="s">
        <v>130</v>
      </c>
      <c r="N241" s="437" t="s">
        <v>202</v>
      </c>
      <c r="O241" s="437"/>
      <c r="P241" s="229" t="s">
        <v>130</v>
      </c>
      <c r="Q241" s="230" t="s">
        <v>363</v>
      </c>
      <c r="R241" s="44"/>
      <c r="S241" s="44"/>
      <c r="T241" s="44">
        <f t="shared" si="24"/>
        <v>40</v>
      </c>
      <c r="U241" s="44"/>
    </row>
    <row r="242" spans="1:21" ht="13.5" customHeight="1">
      <c r="A242" s="30"/>
      <c r="B242" s="30"/>
      <c r="C242" s="35"/>
      <c r="D242" s="35" t="s">
        <v>75</v>
      </c>
      <c r="E242" s="469">
        <f>$I$31</f>
        <v>0</v>
      </c>
      <c r="F242" s="469"/>
      <c r="G242" s="35" t="s">
        <v>130</v>
      </c>
      <c r="H242" s="469">
        <f>$K$31</f>
        <v>0</v>
      </c>
      <c r="I242" s="469"/>
      <c r="J242" s="35" t="s">
        <v>130</v>
      </c>
      <c r="K242" s="469">
        <f>$M$31</f>
        <v>0</v>
      </c>
      <c r="L242" s="469"/>
      <c r="M242" s="35" t="s">
        <v>130</v>
      </c>
      <c r="N242" s="469">
        <f>$K$24</f>
        <v>0.9</v>
      </c>
      <c r="O242" s="469"/>
      <c r="P242" s="35" t="s">
        <v>130</v>
      </c>
      <c r="Q242" s="121">
        <f>$O$31</f>
        <v>1</v>
      </c>
      <c r="R242" s="119"/>
      <c r="S242" s="44"/>
      <c r="T242" s="44">
        <f t="shared" si="24"/>
        <v>41</v>
      </c>
      <c r="U242" s="44"/>
    </row>
    <row r="243" spans="1:21" ht="13.5" customHeight="1">
      <c r="A243" s="30"/>
      <c r="B243" s="30"/>
      <c r="C243" s="30"/>
      <c r="D243" s="81" t="s">
        <v>75</v>
      </c>
      <c r="E243" s="435">
        <f>E242*H242*K242*N242*Q242</f>
        <v>0</v>
      </c>
      <c r="F243" s="435"/>
      <c r="G243" s="30" t="s">
        <v>76</v>
      </c>
      <c r="H243" s="228" t="e">
        <f>IF(E243&gt;=E238,"ＯＫ","ＮＧ")</f>
        <v>#VALUE!</v>
      </c>
      <c r="I243" s="80"/>
      <c r="J243" s="80"/>
      <c r="K243" s="80"/>
      <c r="L243" s="80"/>
      <c r="M243" s="80"/>
      <c r="N243" s="30"/>
      <c r="O243" s="30"/>
      <c r="P243" s="30"/>
      <c r="Q243" s="30"/>
      <c r="R243" s="30"/>
      <c r="S243" s="30"/>
      <c r="T243" s="44">
        <f t="shared" si="24"/>
        <v>42</v>
      </c>
      <c r="U243" s="44"/>
    </row>
    <row r="244" spans="1:21" ht="13.5" customHeight="1">
      <c r="A244" s="44"/>
      <c r="B244" s="44"/>
      <c r="C244" s="44"/>
      <c r="D244" s="46"/>
      <c r="E244" s="47"/>
      <c r="F244" s="48"/>
      <c r="G244" s="30"/>
      <c r="H244" s="44"/>
      <c r="I244" s="44"/>
      <c r="J244" s="44"/>
      <c r="K244" s="44"/>
      <c r="L244" s="44"/>
      <c r="M244" s="44"/>
      <c r="N244" s="44"/>
      <c r="O244" s="44"/>
      <c r="P244" s="44"/>
      <c r="Q244" s="44"/>
      <c r="R244" s="44"/>
      <c r="S244" s="44"/>
      <c r="T244" s="44">
        <f t="shared" si="24"/>
        <v>43</v>
      </c>
      <c r="U244" s="44"/>
    </row>
  </sheetData>
  <sheetProtection algorithmName="SHA-512" hashValue="yelmw7yCmQ8CIa6mW+ooZNHdIqn9dw0bpa7IwdWQUB5B33xew0BFOqLdqmfH30IiApzaV2YpddclZsu9gygbqA==" saltValue="fsmtdVEn256XTrqp31TVlg==" spinCount="100000" sheet="1" objects="1" scenarios="1" selectLockedCells="1"/>
  <mergeCells count="449">
    <mergeCell ref="H6:R6"/>
    <mergeCell ref="H51:R51"/>
    <mergeCell ref="H87:J87"/>
    <mergeCell ref="K87:M87"/>
    <mergeCell ref="N87:P87"/>
    <mergeCell ref="D74:H75"/>
    <mergeCell ref="I74:J74"/>
    <mergeCell ref="K74:L74"/>
    <mergeCell ref="Q87:R87"/>
    <mergeCell ref="K69:M69"/>
    <mergeCell ref="K70:M70"/>
    <mergeCell ref="K71:M71"/>
    <mergeCell ref="K72:M72"/>
    <mergeCell ref="M74:N74"/>
    <mergeCell ref="O74:P74"/>
    <mergeCell ref="I75:J75"/>
    <mergeCell ref="K75:L75"/>
    <mergeCell ref="M75:N75"/>
    <mergeCell ref="O75:P75"/>
    <mergeCell ref="D65:F65"/>
    <mergeCell ref="G65:I65"/>
    <mergeCell ref="J65:K65"/>
    <mergeCell ref="L65:M65"/>
    <mergeCell ref="N65:R65"/>
    <mergeCell ref="H88:J88"/>
    <mergeCell ref="K88:M88"/>
    <mergeCell ref="N88:P88"/>
    <mergeCell ref="Q88:R88"/>
    <mergeCell ref="H84:J84"/>
    <mergeCell ref="K84:M84"/>
    <mergeCell ref="N84:P84"/>
    <mergeCell ref="Q84:R84"/>
    <mergeCell ref="H85:J85"/>
    <mergeCell ref="K85:M85"/>
    <mergeCell ref="N85:P85"/>
    <mergeCell ref="Q85:R85"/>
    <mergeCell ref="H86:J86"/>
    <mergeCell ref="K86:M86"/>
    <mergeCell ref="N86:P86"/>
    <mergeCell ref="Q86:R86"/>
    <mergeCell ref="D66:F66"/>
    <mergeCell ref="G66:I66"/>
    <mergeCell ref="J66:K66"/>
    <mergeCell ref="L66:M66"/>
    <mergeCell ref="N66:R66"/>
    <mergeCell ref="D63:F63"/>
    <mergeCell ref="G63:I63"/>
    <mergeCell ref="J63:K63"/>
    <mergeCell ref="L63:M63"/>
    <mergeCell ref="N63:R63"/>
    <mergeCell ref="D64:F64"/>
    <mergeCell ref="G64:I64"/>
    <mergeCell ref="J64:K64"/>
    <mergeCell ref="L64:M64"/>
    <mergeCell ref="N64:R64"/>
    <mergeCell ref="G59:I59"/>
    <mergeCell ref="J59:K59"/>
    <mergeCell ref="L59:M59"/>
    <mergeCell ref="N59:R59"/>
    <mergeCell ref="D60:F60"/>
    <mergeCell ref="G60:I60"/>
    <mergeCell ref="L60:M60"/>
    <mergeCell ref="N60:R60"/>
    <mergeCell ref="D62:F62"/>
    <mergeCell ref="G62:I62"/>
    <mergeCell ref="J62:K62"/>
    <mergeCell ref="L62:M62"/>
    <mergeCell ref="N62:R62"/>
    <mergeCell ref="C119:E119"/>
    <mergeCell ref="F119:G119"/>
    <mergeCell ref="H119:J119"/>
    <mergeCell ref="K119:M119"/>
    <mergeCell ref="N119:R119"/>
    <mergeCell ref="C120:E120"/>
    <mergeCell ref="D53:F53"/>
    <mergeCell ref="G53:I53"/>
    <mergeCell ref="J53:K53"/>
    <mergeCell ref="L53:M53"/>
    <mergeCell ref="N53:R53"/>
    <mergeCell ref="D54:F54"/>
    <mergeCell ref="G54:I54"/>
    <mergeCell ref="J54:K54"/>
    <mergeCell ref="L54:M54"/>
    <mergeCell ref="N54:R54"/>
    <mergeCell ref="D55:F55"/>
    <mergeCell ref="G55:I55"/>
    <mergeCell ref="J55:K55"/>
    <mergeCell ref="L55:M55"/>
    <mergeCell ref="N55:R55"/>
    <mergeCell ref="D56:F56"/>
    <mergeCell ref="G56:I56"/>
    <mergeCell ref="J56:K56"/>
    <mergeCell ref="F131:G131"/>
    <mergeCell ref="H131:J131"/>
    <mergeCell ref="K131:M131"/>
    <mergeCell ref="N131:R131"/>
    <mergeCell ref="H128:J128"/>
    <mergeCell ref="K128:M128"/>
    <mergeCell ref="N128:R128"/>
    <mergeCell ref="C129:E129"/>
    <mergeCell ref="F129:G129"/>
    <mergeCell ref="H129:J129"/>
    <mergeCell ref="N17:R17"/>
    <mergeCell ref="M31:N31"/>
    <mergeCell ref="AL39:AM39"/>
    <mergeCell ref="AL40:AM40"/>
    <mergeCell ref="G21:I21"/>
    <mergeCell ref="F130:G130"/>
    <mergeCell ref="H130:J130"/>
    <mergeCell ref="K130:M130"/>
    <mergeCell ref="N130:R130"/>
    <mergeCell ref="K122:M122"/>
    <mergeCell ref="N122:R122"/>
    <mergeCell ref="L56:M56"/>
    <mergeCell ref="N56:R56"/>
    <mergeCell ref="D57:F57"/>
    <mergeCell ref="G57:I57"/>
    <mergeCell ref="J57:K57"/>
    <mergeCell ref="L57:M57"/>
    <mergeCell ref="N57:R57"/>
    <mergeCell ref="D58:F58"/>
    <mergeCell ref="G58:I58"/>
    <mergeCell ref="J58:K58"/>
    <mergeCell ref="L58:M58"/>
    <mergeCell ref="N58:R58"/>
    <mergeCell ref="D59:F59"/>
    <mergeCell ref="Q144:S145"/>
    <mergeCell ref="M144:P144"/>
    <mergeCell ref="M16:N16"/>
    <mergeCell ref="G12:I12"/>
    <mergeCell ref="G14:I14"/>
    <mergeCell ref="G13:I13"/>
    <mergeCell ref="J13:K13"/>
    <mergeCell ref="J14:K14"/>
    <mergeCell ref="L13:M13"/>
    <mergeCell ref="L14:M14"/>
    <mergeCell ref="G15:I15"/>
    <mergeCell ref="L15:M15"/>
    <mergeCell ref="L17:M17"/>
    <mergeCell ref="D31:H31"/>
    <mergeCell ref="I30:J30"/>
    <mergeCell ref="I31:J31"/>
    <mergeCell ref="O30:P30"/>
    <mergeCell ref="D17:F17"/>
    <mergeCell ref="D18:F18"/>
    <mergeCell ref="D19:F19"/>
    <mergeCell ref="D20:F20"/>
    <mergeCell ref="D21:F21"/>
    <mergeCell ref="K24:M24"/>
    <mergeCell ref="G17:I17"/>
    <mergeCell ref="S198:S199"/>
    <mergeCell ref="S204:S205"/>
    <mergeCell ref="E226:F227"/>
    <mergeCell ref="J222:K223"/>
    <mergeCell ref="L222:M223"/>
    <mergeCell ref="L226:R227"/>
    <mergeCell ref="J226:K227"/>
    <mergeCell ref="N204:N205"/>
    <mergeCell ref="I222:I223"/>
    <mergeCell ref="K216:L216"/>
    <mergeCell ref="H226:I226"/>
    <mergeCell ref="H227:I227"/>
    <mergeCell ref="P204:P205"/>
    <mergeCell ref="Q204:Q205"/>
    <mergeCell ref="G205:M205"/>
    <mergeCell ref="F121:G121"/>
    <mergeCell ref="F216:G216"/>
    <mergeCell ref="F204:F205"/>
    <mergeCell ref="E188:F188"/>
    <mergeCell ref="E189:F189"/>
    <mergeCell ref="B154:D154"/>
    <mergeCell ref="B155:D155"/>
    <mergeCell ref="E154:G154"/>
    <mergeCell ref="E155:G155"/>
    <mergeCell ref="B156:D156"/>
    <mergeCell ref="E156:G156"/>
    <mergeCell ref="E140:F140"/>
    <mergeCell ref="E141:F141"/>
    <mergeCell ref="F132:G132"/>
    <mergeCell ref="E135:F135"/>
    <mergeCell ref="D144:D145"/>
    <mergeCell ref="D204:E204"/>
    <mergeCell ref="G204:M204"/>
    <mergeCell ref="D205:E205"/>
    <mergeCell ref="C130:E130"/>
    <mergeCell ref="C132:E132"/>
    <mergeCell ref="J189:K189"/>
    <mergeCell ref="E146:F146"/>
    <mergeCell ref="C131:E131"/>
    <mergeCell ref="B218:B219"/>
    <mergeCell ref="B222:B223"/>
    <mergeCell ref="C144:C145"/>
    <mergeCell ref="C204:C205"/>
    <mergeCell ref="C218:C219"/>
    <mergeCell ref="C222:C223"/>
    <mergeCell ref="C226:C227"/>
    <mergeCell ref="D218:D219"/>
    <mergeCell ref="E219:Q219"/>
    <mergeCell ref="D220:E220"/>
    <mergeCell ref="I144:I145"/>
    <mergeCell ref="P216:R216"/>
    <mergeCell ref="O218:Q218"/>
    <mergeCell ref="R204:R205"/>
    <mergeCell ref="R218:R219"/>
    <mergeCell ref="P189:Q189"/>
    <mergeCell ref="E218:F218"/>
    <mergeCell ref="H218:I218"/>
    <mergeCell ref="K218:M218"/>
    <mergeCell ref="L215:M215"/>
    <mergeCell ref="F144:H145"/>
    <mergeCell ref="F215:G215"/>
    <mergeCell ref="Q194:R194"/>
    <mergeCell ref="M189:N189"/>
    <mergeCell ref="E243:F243"/>
    <mergeCell ref="E242:F242"/>
    <mergeCell ref="G226:G227"/>
    <mergeCell ref="H43:J43"/>
    <mergeCell ref="K43:M43"/>
    <mergeCell ref="N43:P43"/>
    <mergeCell ref="Q43:R43"/>
    <mergeCell ref="H140:I140"/>
    <mergeCell ref="I132:J132"/>
    <mergeCell ref="K132:M132"/>
    <mergeCell ref="N132:R132"/>
    <mergeCell ref="H135:I135"/>
    <mergeCell ref="K135:L135"/>
    <mergeCell ref="N135:O135"/>
    <mergeCell ref="M52:N52"/>
    <mergeCell ref="M61:N61"/>
    <mergeCell ref="D76:H76"/>
    <mergeCell ref="I76:J76"/>
    <mergeCell ref="K76:L76"/>
    <mergeCell ref="M76:N76"/>
    <mergeCell ref="O76:P76"/>
    <mergeCell ref="K80:L80"/>
    <mergeCell ref="K81:L81"/>
    <mergeCell ref="C121:E121"/>
    <mergeCell ref="O154:P154"/>
    <mergeCell ref="N242:O242"/>
    <mergeCell ref="D222:H222"/>
    <mergeCell ref="D223:E223"/>
    <mergeCell ref="G223:H223"/>
    <mergeCell ref="E228:F228"/>
    <mergeCell ref="E233:F233"/>
    <mergeCell ref="H233:I233"/>
    <mergeCell ref="D226:D227"/>
    <mergeCell ref="N241:O241"/>
    <mergeCell ref="K241:L241"/>
    <mergeCell ref="H241:I241"/>
    <mergeCell ref="E241:F241"/>
    <mergeCell ref="E234:F234"/>
    <mergeCell ref="E238:F238"/>
    <mergeCell ref="E237:F237"/>
    <mergeCell ref="H237:I237"/>
    <mergeCell ref="H242:I242"/>
    <mergeCell ref="K242:L242"/>
    <mergeCell ref="I194:J194"/>
    <mergeCell ref="M194:N194"/>
    <mergeCell ref="Q156:S156"/>
    <mergeCell ref="H156:J156"/>
    <mergeCell ref="Q154:S154"/>
    <mergeCell ref="M155:N155"/>
    <mergeCell ref="O155:P155"/>
    <mergeCell ref="Q155:S155"/>
    <mergeCell ref="K155:L155"/>
    <mergeCell ref="K140:L140"/>
    <mergeCell ref="N140:O140"/>
    <mergeCell ref="K144:L145"/>
    <mergeCell ref="N149:P150"/>
    <mergeCell ref="N151:P151"/>
    <mergeCell ref="Q149:S150"/>
    <mergeCell ref="Q151:S151"/>
    <mergeCell ref="H149:J150"/>
    <mergeCell ref="O145:P145"/>
    <mergeCell ref="H151:J151"/>
    <mergeCell ref="H154:J154"/>
    <mergeCell ref="H155:J155"/>
    <mergeCell ref="K156:L156"/>
    <mergeCell ref="M156:N156"/>
    <mergeCell ref="K154:L154"/>
    <mergeCell ref="O156:P156"/>
    <mergeCell ref="M154:N154"/>
    <mergeCell ref="C123:E123"/>
    <mergeCell ref="F123:G123"/>
    <mergeCell ref="H123:J123"/>
    <mergeCell ref="K123:M123"/>
    <mergeCell ref="N123:R123"/>
    <mergeCell ref="K129:M129"/>
    <mergeCell ref="N129:R129"/>
    <mergeCell ref="C124:E124"/>
    <mergeCell ref="F124:G124"/>
    <mergeCell ref="I124:J124"/>
    <mergeCell ref="K124:M124"/>
    <mergeCell ref="N124:R124"/>
    <mergeCell ref="E126:F126"/>
    <mergeCell ref="H126:I126"/>
    <mergeCell ref="K126:L126"/>
    <mergeCell ref="N126:O126"/>
    <mergeCell ref="C128:G128"/>
    <mergeCell ref="K120:M120"/>
    <mergeCell ref="N120:R120"/>
    <mergeCell ref="H122:J122"/>
    <mergeCell ref="G8:I8"/>
    <mergeCell ref="J8:K8"/>
    <mergeCell ref="L8:M8"/>
    <mergeCell ref="D8:F8"/>
    <mergeCell ref="N8:R8"/>
    <mergeCell ref="D14:F14"/>
    <mergeCell ref="N13:R13"/>
    <mergeCell ref="N14:R14"/>
    <mergeCell ref="L12:M12"/>
    <mergeCell ref="D15:F15"/>
    <mergeCell ref="N15:R15"/>
    <mergeCell ref="D29:H30"/>
    <mergeCell ref="I29:J29"/>
    <mergeCell ref="K29:L29"/>
    <mergeCell ref="M29:N29"/>
    <mergeCell ref="G18:I18"/>
    <mergeCell ref="G19:I19"/>
    <mergeCell ref="G20:I20"/>
    <mergeCell ref="J21:K21"/>
    <mergeCell ref="H39:J39"/>
    <mergeCell ref="K39:M39"/>
    <mergeCell ref="M7:N7"/>
    <mergeCell ref="J18:K18"/>
    <mergeCell ref="G9:I9"/>
    <mergeCell ref="G10:I10"/>
    <mergeCell ref="J9:K9"/>
    <mergeCell ref="J10:K10"/>
    <mergeCell ref="L9:M9"/>
    <mergeCell ref="L10:M10"/>
    <mergeCell ref="D9:F9"/>
    <mergeCell ref="D10:F10"/>
    <mergeCell ref="N9:R9"/>
    <mergeCell ref="N10:R10"/>
    <mergeCell ref="G11:I11"/>
    <mergeCell ref="J11:K11"/>
    <mergeCell ref="J12:K12"/>
    <mergeCell ref="L11:M11"/>
    <mergeCell ref="J17:K17"/>
    <mergeCell ref="L18:M18"/>
    <mergeCell ref="N18:R18"/>
    <mergeCell ref="D11:F11"/>
    <mergeCell ref="D12:F12"/>
    <mergeCell ref="N11:R11"/>
    <mergeCell ref="N12:R12"/>
    <mergeCell ref="D13:F13"/>
    <mergeCell ref="L19:M19"/>
    <mergeCell ref="L20:M20"/>
    <mergeCell ref="L21:M21"/>
    <mergeCell ref="N19:R19"/>
    <mergeCell ref="N20:R20"/>
    <mergeCell ref="N21:R21"/>
    <mergeCell ref="J19:K19"/>
    <mergeCell ref="K25:M25"/>
    <mergeCell ref="K26:M26"/>
    <mergeCell ref="O29:P29"/>
    <mergeCell ref="K30:L30"/>
    <mergeCell ref="M30:N30"/>
    <mergeCell ref="K27:M27"/>
    <mergeCell ref="J20:K20"/>
    <mergeCell ref="AV40:AW40"/>
    <mergeCell ref="AX40:AY40"/>
    <mergeCell ref="AZ38:BA38"/>
    <mergeCell ref="AV39:AW39"/>
    <mergeCell ref="AX39:AY39"/>
    <mergeCell ref="AV38:AW38"/>
    <mergeCell ref="AX38:AY38"/>
    <mergeCell ref="AZ40:BA40"/>
    <mergeCell ref="AR40:AS40"/>
    <mergeCell ref="AT38:AU38"/>
    <mergeCell ref="AZ39:BA39"/>
    <mergeCell ref="AR39:AS39"/>
    <mergeCell ref="AR38:AS38"/>
    <mergeCell ref="AT40:AU40"/>
    <mergeCell ref="K31:L31"/>
    <mergeCell ref="AN39:AO39"/>
    <mergeCell ref="AP40:AQ40"/>
    <mergeCell ref="AN40:AO40"/>
    <mergeCell ref="AL38:AM38"/>
    <mergeCell ref="Q42:R42"/>
    <mergeCell ref="AU62:AV62"/>
    <mergeCell ref="AU64:AV64"/>
    <mergeCell ref="AL50:AM50"/>
    <mergeCell ref="AL52:AM52"/>
    <mergeCell ref="AL53:AM53"/>
    <mergeCell ref="AO50:AP50"/>
    <mergeCell ref="AO52:AP52"/>
    <mergeCell ref="AO53:AP53"/>
    <mergeCell ref="AR58:AZ58"/>
    <mergeCell ref="AY50:BA50"/>
    <mergeCell ref="AM59:AM60"/>
    <mergeCell ref="AX60:AY60"/>
    <mergeCell ref="AT59:AZ59"/>
    <mergeCell ref="AR59:AS60"/>
    <mergeCell ref="AV53:AW53"/>
    <mergeCell ref="AS55:AT55"/>
    <mergeCell ref="AR50:AS50"/>
    <mergeCell ref="AR52:AS52"/>
    <mergeCell ref="AU50:AV50"/>
    <mergeCell ref="AU52:AV52"/>
    <mergeCell ref="F120:G120"/>
    <mergeCell ref="H120:J120"/>
    <mergeCell ref="AP43:AQ43"/>
    <mergeCell ref="K36:L36"/>
    <mergeCell ref="O31:P31"/>
    <mergeCell ref="AS45:AT45"/>
    <mergeCell ref="K35:L35"/>
    <mergeCell ref="AT39:AU39"/>
    <mergeCell ref="AP39:AQ39"/>
    <mergeCell ref="AP38:AQ38"/>
    <mergeCell ref="AN38:AO38"/>
    <mergeCell ref="N39:P39"/>
    <mergeCell ref="Q39:R39"/>
    <mergeCell ref="N40:P40"/>
    <mergeCell ref="Q40:R40"/>
    <mergeCell ref="H40:J40"/>
    <mergeCell ref="K40:M40"/>
    <mergeCell ref="H41:J41"/>
    <mergeCell ref="K41:M41"/>
    <mergeCell ref="N41:P41"/>
    <mergeCell ref="Q41:R41"/>
    <mergeCell ref="H42:J42"/>
    <mergeCell ref="K42:M42"/>
    <mergeCell ref="N42:P42"/>
    <mergeCell ref="J32:N32"/>
    <mergeCell ref="J77:N77"/>
    <mergeCell ref="B149:G150"/>
    <mergeCell ref="B151:G151"/>
    <mergeCell ref="K149:M150"/>
    <mergeCell ref="K151:M151"/>
    <mergeCell ref="I110:I111"/>
    <mergeCell ref="J110:J111"/>
    <mergeCell ref="K110:O111"/>
    <mergeCell ref="H121:J121"/>
    <mergeCell ref="K121:M121"/>
    <mergeCell ref="N121:R121"/>
    <mergeCell ref="C122:E122"/>
    <mergeCell ref="F122:G122"/>
    <mergeCell ref="C118:E118"/>
    <mergeCell ref="F118:G118"/>
    <mergeCell ref="H118:J118"/>
    <mergeCell ref="K118:M118"/>
    <mergeCell ref="N118:R118"/>
    <mergeCell ref="C117:G117"/>
    <mergeCell ref="H117:J117"/>
    <mergeCell ref="K117:M117"/>
    <mergeCell ref="N117:R117"/>
    <mergeCell ref="K113:L113"/>
  </mergeCells>
  <phoneticPr fontId="25"/>
  <conditionalFormatting sqref="A153:S153 A154:B156 E154:E156 K154:S156 H154:H156 A186:S189 A157:S171 A172:G173 S172:S185 A178:G185 A174:C174 A175:B177 G174:G177">
    <cfRule type="expression" dxfId="84" priority="29">
      <formula>#REF!="オフサイト貯留施設"</formula>
    </cfRule>
  </conditionalFormatting>
  <dataValidations xWindow="1091" yWindow="1294" count="12">
    <dataValidation allowBlank="1" showInputMessage="1" showErrorMessage="1" sqref="AR58 BA58:BB58"/>
    <dataValidation type="list" allowBlank="1" showInputMessage="1" showErrorMessage="1" sqref="AK38:AK39">
      <formula1>"要,不要"</formula1>
    </dataValidation>
    <dataValidation type="list" allowBlank="1" showInputMessage="1" showErrorMessage="1" sqref="K26">
      <formula1>"1.0m以上,1.0m未満"</formula1>
    </dataValidation>
    <dataValidation type="decimal" allowBlank="1" showInputMessage="1" showErrorMessage="1" prompt="使用する製品により0.90~1.00の範囲で入力する。" sqref="K24:M24">
      <formula1>0.9</formula1>
      <formula2>0.98</formula2>
    </dataValidation>
    <dataValidation showInputMessage="1" showErrorMessage="1" sqref="B151"/>
    <dataValidation allowBlank="1" showInputMessage="1" showErrorMessage="1" prompt="直接放流がない場合は入力不要" sqref="K35:L36"/>
    <dataValidation type="decimal" allowBlank="1" showInputMessage="1" showErrorMessage="1" error="0.02~0.20の範囲で入力してください。_x000a_0.02未満は浸透不適地なので浸透不可" sqref="K25:M25">
      <formula1>0.02</formula1>
      <formula2>0.2</formula2>
    </dataValidation>
    <dataValidation allowBlank="1" showInputMessage="1" showErrorMessage="1" prompt="宅地の駐車場を集水する場合は「駐車場〇m2×〇宅地」などと記載すること。（任意）" sqref="N9:R14"/>
    <dataValidation allowBlank="1" showInputMessage="1" showErrorMessage="1" prompt="開発区域外からの流入がある場合（区域外ののり面などにより流入する場合等）は集水面積に加算すること。" sqref="G9:I14"/>
    <dataValidation type="list" allowBlank="1" showInputMessage="1" showErrorMessage="1" sqref="K27:M27">
      <formula1>"コンクリート,砕石"</formula1>
    </dataValidation>
    <dataValidation type="list" allowBlank="1" showInputMessage="1" showErrorMessage="1" sqref="D18:F20 D9:F14">
      <formula1>$AL$9:$AL$17</formula1>
    </dataValidation>
    <dataValidation type="list" allowBlank="1" showInputMessage="1" showErrorMessage="1" sqref="J32:N32">
      <formula1>"市道路排水施設,国県私が管理する排水施設"</formula1>
    </dataValidation>
  </dataValidations>
  <pageMargins left="0.74803149606299213" right="0.74803149606299213" top="0.59055118110236227" bottom="0.59055118110236227" header="0.39370078740157483" footer="0.27559055118110237"/>
  <pageSetup paperSize="9" scale="98" orientation="portrait" r:id="rId1"/>
  <headerFooter>
    <oddHeader xml:space="preserve">&amp;R&amp;"BIZ UD明朝 Medium,標準"提出先　土木建設課&amp;"-,標準"
</oddHeader>
    <oddFooter>&amp;L&amp;"BIZ UD明朝 Medium,標準"&amp;12&amp;A&amp;C&amp;"BIZ UD明朝 Medium,標準"&amp;P / &amp;N ページ&amp;R雨水流出抑制計算ver3.1
&amp;D</oddFooter>
  </headerFooter>
  <rowBreaks count="3" manualBreakCount="3">
    <brk id="90" max="18" man="1"/>
    <brk id="147" max="18" man="1"/>
    <brk id="201" max="18"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59999389629810485"/>
  </sheetPr>
  <dimension ref="A1:BM195"/>
  <sheetViews>
    <sheetView showZeros="0" zoomScale="115" zoomScaleNormal="115" zoomScaleSheetLayoutView="115" workbookViewId="0">
      <selection activeCell="K5" sqref="K5:M5"/>
    </sheetView>
  </sheetViews>
  <sheetFormatPr defaultColWidth="4.625" defaultRowHeight="13.5" customHeight="1"/>
  <cols>
    <col min="1" max="7" width="4.625" style="1"/>
    <col min="8" max="8" width="8.5" style="1" bestFit="1" customWidth="1"/>
    <col min="9" max="36" width="4.625" style="1"/>
    <col min="37" max="63" width="4.625" style="1" hidden="1" customWidth="1"/>
    <col min="64" max="65" width="4.625" style="1"/>
  </cols>
  <sheetData>
    <row r="1" spans="1:65" ht="13.5" customHeight="1" thickBot="1">
      <c r="A1" s="328" t="s">
        <v>570</v>
      </c>
      <c r="B1" s="327"/>
      <c r="C1" s="327"/>
      <c r="D1" s="327"/>
      <c r="E1" s="327"/>
      <c r="F1" s="327"/>
      <c r="G1" s="327"/>
      <c r="H1" s="327"/>
      <c r="I1" s="327"/>
      <c r="J1" s="327"/>
      <c r="K1" s="327"/>
      <c r="L1" s="327"/>
      <c r="M1" s="327"/>
      <c r="N1" s="327"/>
      <c r="O1" s="327"/>
      <c r="P1" s="327"/>
      <c r="Q1" s="327"/>
      <c r="R1" s="327"/>
      <c r="S1" s="327"/>
      <c r="T1" s="182" t="s">
        <v>308</v>
      </c>
    </row>
    <row r="2" spans="1:65" ht="13.5" customHeight="1">
      <c r="A2" s="141" t="s">
        <v>634</v>
      </c>
      <c r="B2" s="142"/>
      <c r="C2" s="142"/>
      <c r="D2" s="142"/>
      <c r="E2" s="142"/>
      <c r="F2" s="299"/>
      <c r="G2" s="299"/>
      <c r="H2" s="299"/>
      <c r="I2" s="142"/>
      <c r="J2" s="142"/>
      <c r="K2" s="142"/>
      <c r="L2" s="142" t="s">
        <v>15</v>
      </c>
      <c r="M2" s="142"/>
      <c r="N2" s="142"/>
      <c r="O2" s="142"/>
      <c r="P2" s="142"/>
      <c r="Q2" s="142"/>
      <c r="R2" s="142"/>
      <c r="S2" s="143"/>
      <c r="T2" s="1" t="s">
        <v>579</v>
      </c>
      <c r="AK2" s="326" t="s">
        <v>563</v>
      </c>
      <c r="AL2" s="326"/>
      <c r="AM2" s="326"/>
      <c r="AN2" s="326"/>
      <c r="AO2" s="326"/>
      <c r="AP2" s="326"/>
      <c r="AQ2" s="326"/>
      <c r="AR2" s="326"/>
      <c r="AS2" s="326"/>
      <c r="AT2" s="326"/>
      <c r="AU2" s="326"/>
      <c r="AV2" s="326"/>
      <c r="AW2" s="326"/>
      <c r="AX2" s="326"/>
      <c r="AY2" s="326"/>
      <c r="AZ2" s="326"/>
      <c r="BA2" s="326"/>
      <c r="BB2" s="326"/>
    </row>
    <row r="3" spans="1:65" ht="13.5" customHeight="1">
      <c r="A3" s="144" t="s">
        <v>16</v>
      </c>
      <c r="B3" s="165"/>
      <c r="C3" s="165"/>
      <c r="D3" s="165"/>
      <c r="E3" s="165"/>
      <c r="F3" s="165"/>
      <c r="G3" s="165"/>
      <c r="H3" s="165"/>
      <c r="I3" s="165"/>
      <c r="J3" s="165"/>
      <c r="K3" s="165"/>
      <c r="L3" s="145"/>
      <c r="M3" s="165" t="s">
        <v>17</v>
      </c>
      <c r="N3" s="165"/>
      <c r="O3" s="165"/>
      <c r="P3" s="165"/>
      <c r="Q3" s="165"/>
      <c r="R3" s="165"/>
      <c r="S3" s="146"/>
      <c r="T3" s="1" t="s">
        <v>627</v>
      </c>
      <c r="AK3" s="326"/>
      <c r="AL3" s="326"/>
      <c r="AM3" s="326"/>
      <c r="AN3" s="326"/>
      <c r="AO3" s="326"/>
      <c r="AP3" s="326"/>
      <c r="AQ3" s="326"/>
      <c r="AR3" s="326"/>
      <c r="AS3" s="326"/>
      <c r="AT3" s="326"/>
      <c r="AU3" s="326"/>
      <c r="AV3" s="326"/>
      <c r="AW3" s="326"/>
      <c r="AX3" s="326"/>
      <c r="AY3" s="326"/>
      <c r="AZ3" s="326"/>
      <c r="BA3" s="326"/>
      <c r="BB3" s="326"/>
    </row>
    <row r="4" spans="1:65" s="1" customFormat="1" ht="13.5" customHeight="1">
      <c r="A4" s="147"/>
      <c r="B4" s="165">
        <v>1</v>
      </c>
      <c r="C4" s="165" t="s">
        <v>18</v>
      </c>
      <c r="D4" s="165"/>
      <c r="E4" s="165"/>
      <c r="F4" s="165"/>
      <c r="G4" s="165"/>
      <c r="H4" s="165"/>
      <c r="I4" s="165"/>
      <c r="J4" s="165"/>
      <c r="K4" s="165"/>
      <c r="L4" s="148"/>
      <c r="M4" s="165" t="s">
        <v>19</v>
      </c>
      <c r="N4" s="165"/>
      <c r="O4" s="165"/>
      <c r="P4" s="165"/>
      <c r="Q4" s="165"/>
      <c r="R4" s="165"/>
      <c r="S4" s="146"/>
    </row>
    <row r="5" spans="1:65" s="1" customFormat="1" ht="13.5" customHeight="1">
      <c r="A5" s="147"/>
      <c r="B5" s="165"/>
      <c r="C5" s="162" t="s">
        <v>459</v>
      </c>
      <c r="D5" s="167" t="s">
        <v>629</v>
      </c>
      <c r="E5" s="167"/>
      <c r="F5" s="167"/>
      <c r="G5" s="167"/>
      <c r="H5" s="167"/>
      <c r="I5" s="167"/>
      <c r="J5" s="167"/>
      <c r="K5" s="867"/>
      <c r="L5" s="867"/>
      <c r="M5" s="867"/>
      <c r="N5" s="336" t="s">
        <v>609</v>
      </c>
      <c r="O5" s="165"/>
      <c r="P5" s="165"/>
      <c r="Q5" s="165"/>
      <c r="R5" s="165"/>
      <c r="S5" s="146"/>
      <c r="T5" s="1" t="s">
        <v>443</v>
      </c>
      <c r="U5" s="1" t="s">
        <v>630</v>
      </c>
    </row>
    <row r="6" spans="1:65" s="1" customFormat="1" ht="13.5" customHeight="1">
      <c r="A6" s="147"/>
      <c r="B6" s="165"/>
      <c r="C6" s="162" t="s">
        <v>444</v>
      </c>
      <c r="D6" s="167" t="s">
        <v>496</v>
      </c>
      <c r="E6" s="167"/>
      <c r="F6" s="167"/>
      <c r="G6" s="167"/>
      <c r="H6" s="167"/>
      <c r="I6" s="167"/>
      <c r="J6" s="167"/>
      <c r="K6" s="868"/>
      <c r="L6" s="868"/>
      <c r="M6" s="868"/>
      <c r="N6" s="336" t="s">
        <v>609</v>
      </c>
      <c r="O6" s="165"/>
      <c r="P6" s="165"/>
      <c r="Q6" s="165"/>
      <c r="R6" s="165"/>
      <c r="S6" s="146"/>
      <c r="T6" s="290" t="s">
        <v>614</v>
      </c>
      <c r="U6" s="290" t="s">
        <v>615</v>
      </c>
      <c r="AK6" s="11" t="s">
        <v>227</v>
      </c>
      <c r="AL6" s="11" t="s">
        <v>108</v>
      </c>
      <c r="AM6" s="20"/>
      <c r="AO6" s="19" t="s">
        <v>437</v>
      </c>
    </row>
    <row r="7" spans="1:65" ht="13.5" customHeight="1">
      <c r="A7" s="147"/>
      <c r="B7" s="165"/>
      <c r="C7" s="162" t="s">
        <v>355</v>
      </c>
      <c r="D7" s="167" t="s">
        <v>610</v>
      </c>
      <c r="E7" s="167"/>
      <c r="F7" s="167"/>
      <c r="G7" s="167"/>
      <c r="H7" s="167"/>
      <c r="I7" s="167"/>
      <c r="J7" s="167"/>
      <c r="K7" s="867"/>
      <c r="L7" s="867"/>
      <c r="M7" s="867"/>
      <c r="N7" s="336" t="s">
        <v>608</v>
      </c>
      <c r="O7" s="165"/>
      <c r="P7" s="165"/>
      <c r="Q7" s="165"/>
      <c r="R7" s="165"/>
      <c r="S7" s="146"/>
      <c r="T7" s="1" t="s">
        <v>361</v>
      </c>
      <c r="U7" s="1" t="s">
        <v>613</v>
      </c>
      <c r="AK7" s="11" t="s">
        <v>226</v>
      </c>
      <c r="AL7" s="301">
        <v>0.85</v>
      </c>
      <c r="AM7" s="302">
        <v>1</v>
      </c>
      <c r="AO7" s="219" t="s">
        <v>283</v>
      </c>
      <c r="AP7" s="220" t="s">
        <v>284</v>
      </c>
      <c r="AQ7" s="220" t="s">
        <v>285</v>
      </c>
      <c r="AR7" s="220"/>
      <c r="AS7" s="220" t="s">
        <v>287</v>
      </c>
      <c r="AT7" s="220" t="s">
        <v>288</v>
      </c>
      <c r="AU7" s="220" t="s">
        <v>289</v>
      </c>
      <c r="AV7" s="220" t="s">
        <v>290</v>
      </c>
      <c r="AW7" s="220" t="s">
        <v>291</v>
      </c>
      <c r="BE7"/>
      <c r="BF7"/>
      <c r="BG7"/>
      <c r="BH7"/>
      <c r="BI7"/>
      <c r="BJ7"/>
      <c r="BK7"/>
      <c r="BL7"/>
      <c r="BM7"/>
    </row>
    <row r="8" spans="1:65" ht="13.5" customHeight="1">
      <c r="A8" s="147"/>
      <c r="B8" s="165"/>
      <c r="C8" s="162" t="s">
        <v>356</v>
      </c>
      <c r="D8" s="167" t="s">
        <v>611</v>
      </c>
      <c r="E8" s="167"/>
      <c r="F8" s="167"/>
      <c r="G8" s="167"/>
      <c r="H8" s="167"/>
      <c r="I8" s="167"/>
      <c r="J8" s="861"/>
      <c r="K8" s="861"/>
      <c r="L8" s="861"/>
      <c r="M8" s="861"/>
      <c r="N8" s="149" t="str">
        <f>IF(J8="直接放流(開発区域外)","シート③を使用してください。","")</f>
        <v/>
      </c>
      <c r="O8" s="165"/>
      <c r="P8" s="165"/>
      <c r="Q8" s="165"/>
      <c r="R8" s="165"/>
      <c r="S8" s="146"/>
      <c r="U8" s="1" t="s">
        <v>612</v>
      </c>
      <c r="AK8" s="11" t="s">
        <v>315</v>
      </c>
      <c r="AL8" s="301">
        <v>0.8</v>
      </c>
      <c r="AM8" s="302">
        <v>1</v>
      </c>
      <c r="AO8" s="221" t="s">
        <v>417</v>
      </c>
      <c r="AP8" s="222">
        <f>$I$22</f>
        <v>0</v>
      </c>
      <c r="AQ8" s="222">
        <f>$K$22</f>
        <v>0</v>
      </c>
      <c r="AR8" s="222"/>
      <c r="AS8" s="222">
        <f>$M$22</f>
        <v>0</v>
      </c>
      <c r="AT8" s="223">
        <f>IF(OR(AQ8=0,AS8=0),0,3.297*AS8+(1.971*AQ8+4.663))</f>
        <v>0</v>
      </c>
      <c r="AU8" s="223">
        <f>IF(OR(AQ8=0,AS8=0),0,(1.401*AQ8+0.684)*AS8+(1.214*AQ8-0.834))</f>
        <v>0</v>
      </c>
      <c r="AV8" s="224" t="s">
        <v>215</v>
      </c>
      <c r="AW8" s="223">
        <f>AT8*AP8+AU8</f>
        <v>0</v>
      </c>
      <c r="BE8"/>
      <c r="BF8"/>
      <c r="BG8"/>
      <c r="BH8"/>
      <c r="BI8"/>
      <c r="BJ8"/>
      <c r="BK8"/>
      <c r="BL8"/>
      <c r="BM8"/>
    </row>
    <row r="9" spans="1:65" ht="13.5" customHeight="1">
      <c r="A9" s="147"/>
      <c r="B9" s="165"/>
      <c r="C9" s="162"/>
      <c r="D9" s="165" t="s">
        <v>497</v>
      </c>
      <c r="E9" s="165"/>
      <c r="F9" s="165"/>
      <c r="G9" s="165"/>
      <c r="H9" s="165"/>
      <c r="I9" s="165"/>
      <c r="J9" s="151" t="s">
        <v>21</v>
      </c>
      <c r="K9" s="664">
        <f>IF($G$14=0,0,ROUNDUP(L14/G14,2))</f>
        <v>0</v>
      </c>
      <c r="L9" s="664"/>
      <c r="M9" s="664"/>
      <c r="N9" s="165" t="s">
        <v>498</v>
      </c>
      <c r="O9" s="150"/>
      <c r="P9" s="165"/>
      <c r="Q9" s="151"/>
      <c r="R9" s="165"/>
      <c r="S9" s="146"/>
      <c r="T9" s="1" t="s">
        <v>319</v>
      </c>
      <c r="U9" s="1" t="s">
        <v>624</v>
      </c>
      <c r="AK9" s="11" t="s">
        <v>28</v>
      </c>
      <c r="AL9" s="301">
        <v>0.9</v>
      </c>
      <c r="AM9" s="302">
        <v>1</v>
      </c>
      <c r="BE9"/>
      <c r="BF9"/>
      <c r="BG9"/>
      <c r="BH9"/>
      <c r="BI9"/>
      <c r="BJ9"/>
      <c r="BK9"/>
      <c r="BL9"/>
      <c r="BM9"/>
    </row>
    <row r="10" spans="1:65" ht="13.5" customHeight="1">
      <c r="A10" s="147"/>
      <c r="B10" s="165"/>
      <c r="C10" s="165"/>
      <c r="D10" s="621" t="s">
        <v>307</v>
      </c>
      <c r="E10" s="622"/>
      <c r="F10" s="623"/>
      <c r="G10" s="621" t="s">
        <v>24</v>
      </c>
      <c r="H10" s="622"/>
      <c r="I10" s="623"/>
      <c r="J10" s="621" t="s">
        <v>25</v>
      </c>
      <c r="K10" s="623"/>
      <c r="L10" s="622" t="s">
        <v>26</v>
      </c>
      <c r="M10" s="623"/>
      <c r="N10" s="621" t="s">
        <v>27</v>
      </c>
      <c r="O10" s="622"/>
      <c r="P10" s="622"/>
      <c r="Q10" s="622"/>
      <c r="R10" s="623"/>
      <c r="S10" s="146"/>
      <c r="U10" s="1" t="s">
        <v>625</v>
      </c>
      <c r="AK10" s="11" t="s">
        <v>29</v>
      </c>
      <c r="AL10" s="301">
        <v>0.8</v>
      </c>
      <c r="AM10" s="302">
        <v>1</v>
      </c>
      <c r="BE10"/>
      <c r="BF10"/>
      <c r="BG10"/>
      <c r="BH10"/>
      <c r="BI10"/>
      <c r="BJ10"/>
      <c r="BK10"/>
      <c r="BL10"/>
      <c r="BM10"/>
    </row>
    <row r="11" spans="1:65" ht="13.5" customHeight="1">
      <c r="A11" s="147"/>
      <c r="B11" s="165"/>
      <c r="C11" s="165"/>
      <c r="D11" s="851" t="s">
        <v>28</v>
      </c>
      <c r="E11" s="852"/>
      <c r="F11" s="853"/>
      <c r="G11" s="854">
        <f>K5*K6</f>
        <v>0</v>
      </c>
      <c r="H11" s="855"/>
      <c r="I11" s="856"/>
      <c r="J11" s="680">
        <f>IF(D11="","",VLOOKUP(D11,$AK$7:$AM$13,2,FALSE))</f>
        <v>0.9</v>
      </c>
      <c r="K11" s="857"/>
      <c r="L11" s="712">
        <f>IF(D11="","",ROUND(G11*J11,3))</f>
        <v>0</v>
      </c>
      <c r="M11" s="713"/>
      <c r="N11" s="858" t="str">
        <f>K5&amp;"m2×"&amp;K6*100&amp;"%"</f>
        <v>m2×0%</v>
      </c>
      <c r="O11" s="859"/>
      <c r="P11" s="859"/>
      <c r="Q11" s="859"/>
      <c r="R11" s="860"/>
      <c r="S11" s="146"/>
      <c r="AK11" s="11" t="s">
        <v>255</v>
      </c>
      <c r="AL11" s="301">
        <v>1</v>
      </c>
      <c r="AM11" s="302">
        <v>1</v>
      </c>
      <c r="BE11"/>
      <c r="BF11"/>
      <c r="BG11"/>
      <c r="BH11"/>
      <c r="BI11"/>
      <c r="BJ11"/>
      <c r="BK11"/>
      <c r="BL11"/>
      <c r="BM11"/>
    </row>
    <row r="12" spans="1:65" ht="13.5" customHeight="1">
      <c r="A12" s="147"/>
      <c r="B12" s="165"/>
      <c r="C12" s="165"/>
      <c r="D12" s="841" t="s">
        <v>216</v>
      </c>
      <c r="E12" s="842"/>
      <c r="F12" s="843"/>
      <c r="G12" s="844">
        <f>K5*(1-K6)-K7</f>
        <v>0</v>
      </c>
      <c r="H12" s="845"/>
      <c r="I12" s="846"/>
      <c r="J12" s="693">
        <f t="shared" ref="J12:J13" si="0">IF(D12="","",VLOOKUP(D12,$AK$7:$AM$13,2,FALSE))</f>
        <v>0.2</v>
      </c>
      <c r="K12" s="694"/>
      <c r="L12" s="714">
        <f>IF(D12="","",ROUND(G12*J12,3))</f>
        <v>0</v>
      </c>
      <c r="M12" s="715"/>
      <c r="N12" s="847" t="str">
        <f>K5&amp;"m2×"&amp;(1-K6)*100&amp;"%-"&amp;K7&amp;"m2"</f>
        <v>m2×100%-m2</v>
      </c>
      <c r="O12" s="848"/>
      <c r="P12" s="848"/>
      <c r="Q12" s="848"/>
      <c r="R12" s="849"/>
      <c r="S12" s="146"/>
      <c r="AK12" s="11" t="s">
        <v>216</v>
      </c>
      <c r="AL12" s="301">
        <v>0.2</v>
      </c>
      <c r="AM12" s="303">
        <v>0.6</v>
      </c>
      <c r="AN12" s="110"/>
      <c r="BE12"/>
      <c r="BF12"/>
      <c r="BG12"/>
      <c r="BH12"/>
      <c r="BI12"/>
      <c r="BJ12"/>
      <c r="BK12"/>
      <c r="BL12"/>
      <c r="BM12"/>
    </row>
    <row r="13" spans="1:65" ht="13.5" customHeight="1">
      <c r="A13" s="147"/>
      <c r="B13" s="165"/>
      <c r="C13" s="165"/>
      <c r="D13" s="841" t="s">
        <v>29</v>
      </c>
      <c r="E13" s="842"/>
      <c r="F13" s="843"/>
      <c r="G13" s="844">
        <f>IF(J8="直接放流(別施設で抑制)",0,K7)</f>
        <v>0</v>
      </c>
      <c r="H13" s="845"/>
      <c r="I13" s="846"/>
      <c r="J13" s="693">
        <f t="shared" si="0"/>
        <v>0.8</v>
      </c>
      <c r="K13" s="694"/>
      <c r="L13" s="714">
        <f>IF(D13="","",ROUND(G13*J13,3))</f>
        <v>0</v>
      </c>
      <c r="M13" s="715"/>
      <c r="N13" s="847" t="str">
        <f>IF(J8="直接放流(別施設で抑制)","駐車場"&amp;K7&amp;"m2を直接放流",IF(J8="集水する(本施設で抑制)","駐車場も集水する",""))</f>
        <v/>
      </c>
      <c r="O13" s="848"/>
      <c r="P13" s="848"/>
      <c r="Q13" s="848"/>
      <c r="R13" s="849"/>
      <c r="S13" s="146"/>
      <c r="AK13" s="11" t="s">
        <v>263</v>
      </c>
      <c r="AL13" s="301">
        <v>0.15</v>
      </c>
      <c r="AM13" s="302">
        <v>0.6</v>
      </c>
      <c r="BE13"/>
      <c r="BF13"/>
      <c r="BG13"/>
      <c r="BH13"/>
      <c r="BI13"/>
      <c r="BJ13"/>
      <c r="BK13"/>
      <c r="BL13"/>
      <c r="BM13"/>
    </row>
    <row r="14" spans="1:65" ht="13.5" customHeight="1">
      <c r="A14" s="147"/>
      <c r="B14" s="165"/>
      <c r="C14" s="165"/>
      <c r="D14" s="613" t="s">
        <v>30</v>
      </c>
      <c r="E14" s="614"/>
      <c r="F14" s="615"/>
      <c r="G14" s="616">
        <f>SUM(G11:I13)</f>
        <v>0</v>
      </c>
      <c r="H14" s="617"/>
      <c r="I14" s="617"/>
      <c r="J14" s="613"/>
      <c r="K14" s="615"/>
      <c r="L14" s="619">
        <f>SUM(L11:M13)</f>
        <v>0</v>
      </c>
      <c r="M14" s="620"/>
      <c r="N14" s="621"/>
      <c r="O14" s="622"/>
      <c r="P14" s="622"/>
      <c r="Q14" s="622"/>
      <c r="R14" s="623"/>
      <c r="S14" s="146"/>
      <c r="T14" s="171"/>
      <c r="U14" s="5"/>
      <c r="BE14"/>
      <c r="BF14"/>
      <c r="BG14"/>
      <c r="BH14"/>
      <c r="BI14"/>
      <c r="BJ14"/>
      <c r="BK14"/>
      <c r="BL14"/>
      <c r="BM14"/>
    </row>
    <row r="15" spans="1:65" ht="13.5" customHeight="1">
      <c r="A15" s="147"/>
      <c r="B15" s="165">
        <v>2</v>
      </c>
      <c r="C15" s="167" t="s">
        <v>44</v>
      </c>
      <c r="D15" s="165"/>
      <c r="E15" s="165"/>
      <c r="F15" s="165"/>
      <c r="G15" s="165"/>
      <c r="H15" s="165"/>
      <c r="I15" s="165"/>
      <c r="J15" s="165"/>
      <c r="K15" s="165"/>
      <c r="L15" s="165"/>
      <c r="M15" s="165"/>
      <c r="N15" s="165"/>
      <c r="O15" s="165"/>
      <c r="P15" s="165"/>
      <c r="Q15" s="165"/>
      <c r="R15" s="165"/>
      <c r="S15" s="146"/>
      <c r="T15" s="5"/>
      <c r="BE15"/>
      <c r="BF15"/>
      <c r="BG15"/>
      <c r="BH15"/>
      <c r="BI15"/>
      <c r="BJ15"/>
      <c r="BK15"/>
      <c r="BL15"/>
      <c r="BM15"/>
    </row>
    <row r="16" spans="1:65" ht="13.5" customHeight="1">
      <c r="A16" s="147"/>
      <c r="B16" s="165"/>
      <c r="C16" s="162" t="s">
        <v>357</v>
      </c>
      <c r="D16" s="165" t="s">
        <v>441</v>
      </c>
      <c r="E16" s="165"/>
      <c r="F16" s="165"/>
      <c r="G16" s="165"/>
      <c r="H16" s="165"/>
      <c r="I16" s="165"/>
      <c r="J16" s="151" t="s">
        <v>45</v>
      </c>
      <c r="K16" s="579">
        <v>0.9</v>
      </c>
      <c r="L16" s="579"/>
      <c r="M16" s="579"/>
      <c r="N16" s="165"/>
      <c r="O16" s="165"/>
      <c r="P16" s="165"/>
      <c r="Q16" s="165"/>
      <c r="R16" s="165"/>
      <c r="S16" s="146"/>
      <c r="T16" s="1" t="s">
        <v>327</v>
      </c>
      <c r="U16" s="1" t="s">
        <v>341</v>
      </c>
      <c r="BE16"/>
      <c r="BF16"/>
      <c r="BG16"/>
      <c r="BH16"/>
      <c r="BI16"/>
      <c r="BJ16"/>
      <c r="BK16"/>
      <c r="BL16"/>
      <c r="BM16"/>
    </row>
    <row r="17" spans="1:65" s="1" customFormat="1" ht="13.5" customHeight="1">
      <c r="A17" s="147"/>
      <c r="B17" s="165"/>
      <c r="C17" s="162" t="s">
        <v>358</v>
      </c>
      <c r="D17" s="167" t="s">
        <v>46</v>
      </c>
      <c r="E17" s="167"/>
      <c r="F17" s="167"/>
      <c r="G17" s="167"/>
      <c r="H17" s="167"/>
      <c r="I17" s="167"/>
      <c r="J17" s="152" t="s">
        <v>47</v>
      </c>
      <c r="K17" s="791">
        <v>0.02</v>
      </c>
      <c r="L17" s="791"/>
      <c r="M17" s="791"/>
      <c r="N17" s="162"/>
      <c r="O17" s="162"/>
      <c r="P17" s="162"/>
      <c r="Q17" s="151"/>
      <c r="R17" s="151"/>
      <c r="S17" s="146"/>
      <c r="T17" s="1" t="s">
        <v>330</v>
      </c>
      <c r="U17" s="1" t="s">
        <v>755</v>
      </c>
      <c r="AK17" s="5"/>
      <c r="AL17" s="5"/>
      <c r="AM17" s="5"/>
      <c r="AN17" s="5"/>
    </row>
    <row r="18" spans="1:65" ht="13.5" customHeight="1">
      <c r="A18" s="147"/>
      <c r="B18" s="165"/>
      <c r="C18" s="162" t="s">
        <v>359</v>
      </c>
      <c r="D18" s="167" t="s">
        <v>48</v>
      </c>
      <c r="E18" s="167"/>
      <c r="F18" s="167"/>
      <c r="G18" s="167"/>
      <c r="H18" s="167"/>
      <c r="I18" s="167"/>
      <c r="J18" s="152" t="s">
        <v>49</v>
      </c>
      <c r="K18" s="792" t="s">
        <v>576</v>
      </c>
      <c r="L18" s="792"/>
      <c r="M18" s="792"/>
      <c r="N18" s="151"/>
      <c r="O18" s="151"/>
      <c r="P18" s="151"/>
      <c r="Q18" s="151"/>
      <c r="R18" s="151"/>
      <c r="S18" s="146"/>
      <c r="T18" s="1" t="s">
        <v>332</v>
      </c>
      <c r="U18" s="1" t="s">
        <v>334</v>
      </c>
      <c r="AK18" s="170"/>
      <c r="AL18" s="170"/>
      <c r="AM18" s="170"/>
      <c r="AN18" s="170"/>
      <c r="BE18"/>
      <c r="BF18"/>
      <c r="BG18"/>
      <c r="BH18"/>
      <c r="BI18"/>
      <c r="BJ18"/>
      <c r="BK18"/>
      <c r="BL18"/>
      <c r="BM18"/>
    </row>
    <row r="19" spans="1:65" ht="13.5" customHeight="1">
      <c r="A19" s="147"/>
      <c r="B19" s="165"/>
      <c r="C19" s="162" t="s">
        <v>360</v>
      </c>
      <c r="D19" s="167" t="s">
        <v>393</v>
      </c>
      <c r="E19" s="167"/>
      <c r="F19" s="167"/>
      <c r="G19" s="167"/>
      <c r="H19" s="167"/>
      <c r="I19" s="167"/>
      <c r="J19" s="162"/>
      <c r="K19" s="162"/>
      <c r="L19" s="152"/>
      <c r="M19" s="152"/>
      <c r="N19" s="163"/>
      <c r="O19" s="163"/>
      <c r="P19" s="152"/>
      <c r="Q19" s="164"/>
      <c r="R19" s="164"/>
      <c r="S19" s="146"/>
      <c r="AK19" s="170"/>
      <c r="AL19" s="170"/>
      <c r="AM19" s="170"/>
      <c r="AN19" s="170"/>
      <c r="BE19"/>
      <c r="BF19"/>
      <c r="BG19"/>
      <c r="BH19"/>
      <c r="BI19"/>
      <c r="BJ19"/>
      <c r="BK19"/>
      <c r="BL19"/>
      <c r="BM19"/>
    </row>
    <row r="20" spans="1:65">
      <c r="A20" s="147"/>
      <c r="B20" s="165"/>
      <c r="C20" s="269"/>
      <c r="D20" s="580" t="s">
        <v>373</v>
      </c>
      <c r="E20" s="580"/>
      <c r="F20" s="580"/>
      <c r="G20" s="580"/>
      <c r="H20" s="580"/>
      <c r="I20" s="840" t="s">
        <v>50</v>
      </c>
      <c r="J20" s="840"/>
      <c r="K20" s="840" t="s">
        <v>51</v>
      </c>
      <c r="L20" s="840"/>
      <c r="M20" s="840" t="s">
        <v>488</v>
      </c>
      <c r="N20" s="840"/>
      <c r="O20" s="840" t="s">
        <v>491</v>
      </c>
      <c r="P20" s="840"/>
      <c r="Q20" s="164"/>
      <c r="R20" s="164"/>
      <c r="S20" s="146"/>
      <c r="AK20" s="170"/>
      <c r="AL20" s="170"/>
      <c r="AM20" s="170"/>
      <c r="AN20" s="170"/>
      <c r="BE20"/>
      <c r="BF20"/>
      <c r="BG20"/>
      <c r="BH20"/>
      <c r="BI20"/>
      <c r="BJ20"/>
      <c r="BK20"/>
      <c r="BL20"/>
      <c r="BM20"/>
    </row>
    <row r="21" spans="1:65" s="1" customFormat="1" ht="13.5" customHeight="1">
      <c r="A21" s="147"/>
      <c r="B21" s="165"/>
      <c r="C21" s="162"/>
      <c r="D21" s="580"/>
      <c r="E21" s="580"/>
      <c r="F21" s="580"/>
      <c r="G21" s="580"/>
      <c r="H21" s="580"/>
      <c r="I21" s="840"/>
      <c r="J21" s="840"/>
      <c r="K21" s="840"/>
      <c r="L21" s="840"/>
      <c r="M21" s="840"/>
      <c r="N21" s="840"/>
      <c r="O21" s="840"/>
      <c r="P21" s="840"/>
      <c r="Q21" s="164"/>
      <c r="R21" s="164"/>
      <c r="S21" s="146"/>
      <c r="T21" s="171"/>
      <c r="U21" s="114"/>
      <c r="AK21" s="5"/>
      <c r="AL21" s="5"/>
      <c r="AM21" s="5"/>
      <c r="AN21" s="5"/>
    </row>
    <row r="22" spans="1:65" ht="13.5" customHeight="1">
      <c r="A22" s="147"/>
      <c r="B22" s="165"/>
      <c r="C22" s="162"/>
      <c r="D22" s="820" t="s">
        <v>417</v>
      </c>
      <c r="E22" s="821"/>
      <c r="F22" s="821"/>
      <c r="G22" s="821"/>
      <c r="H22" s="822"/>
      <c r="I22" s="863"/>
      <c r="J22" s="864"/>
      <c r="K22" s="593"/>
      <c r="L22" s="595"/>
      <c r="M22" s="833"/>
      <c r="N22" s="833"/>
      <c r="O22" s="862">
        <v>1</v>
      </c>
      <c r="P22" s="862"/>
      <c r="Q22" s="164"/>
      <c r="R22" s="164"/>
      <c r="S22" s="146"/>
      <c r="T22" s="171"/>
      <c r="U22" s="171"/>
      <c r="BE22"/>
      <c r="BF22"/>
      <c r="BG22"/>
      <c r="BH22"/>
      <c r="BI22"/>
      <c r="BJ22"/>
      <c r="BK22"/>
      <c r="BL22"/>
      <c r="BM22"/>
    </row>
    <row r="23" spans="1:65" ht="13.5" customHeight="1">
      <c r="A23" s="147"/>
      <c r="B23" s="165"/>
      <c r="C23" s="286" t="s">
        <v>364</v>
      </c>
      <c r="D23" s="165" t="s">
        <v>458</v>
      </c>
      <c r="E23" s="165"/>
      <c r="F23" s="165"/>
      <c r="G23" s="165"/>
      <c r="H23" s="165"/>
      <c r="I23" s="165"/>
      <c r="J23" s="599" t="s">
        <v>750</v>
      </c>
      <c r="K23" s="599"/>
      <c r="L23" s="599"/>
      <c r="M23" s="599"/>
      <c r="N23" s="599"/>
      <c r="O23" s="149">
        <f>IF(J23="国県私が管理する排水施設","※要施設管理者と協議",0)</f>
        <v>0</v>
      </c>
      <c r="P23" s="165"/>
      <c r="Q23" s="165"/>
      <c r="R23" s="165"/>
      <c r="S23" s="146"/>
      <c r="T23" s="1" t="s">
        <v>335</v>
      </c>
      <c r="U23" s="1" t="s">
        <v>495</v>
      </c>
      <c r="BC23"/>
      <c r="BD23"/>
      <c r="BE23"/>
      <c r="BF23"/>
      <c r="BG23"/>
      <c r="BH23"/>
      <c r="BI23"/>
      <c r="BJ23"/>
      <c r="BK23"/>
      <c r="BL23"/>
      <c r="BM23"/>
    </row>
    <row r="24" spans="1:65" ht="13.5" customHeight="1">
      <c r="A24" s="147"/>
      <c r="B24" s="165"/>
      <c r="C24" s="167"/>
      <c r="D24" s="165"/>
      <c r="E24" s="165"/>
      <c r="F24" s="165"/>
      <c r="G24" s="165"/>
      <c r="H24" s="165"/>
      <c r="I24" s="165"/>
      <c r="J24" s="165"/>
      <c r="K24" s="165"/>
      <c r="L24" s="165"/>
      <c r="M24" s="165"/>
      <c r="N24" s="165"/>
      <c r="O24" s="165"/>
      <c r="P24" s="165"/>
      <c r="Q24" s="165"/>
      <c r="R24" s="165"/>
      <c r="S24" s="146"/>
      <c r="U24" s="1" t="s">
        <v>749</v>
      </c>
      <c r="BA24"/>
      <c r="BB24"/>
      <c r="BC24"/>
      <c r="BD24"/>
      <c r="BE24"/>
      <c r="BF24"/>
      <c r="BG24"/>
      <c r="BH24"/>
      <c r="BI24"/>
      <c r="BJ24"/>
      <c r="BK24"/>
      <c r="BL24"/>
      <c r="BM24"/>
    </row>
    <row r="25" spans="1:65" ht="13.5" customHeight="1">
      <c r="A25" s="155" t="s">
        <v>637</v>
      </c>
      <c r="B25" s="165"/>
      <c r="C25" s="165"/>
      <c r="D25" s="165"/>
      <c r="E25" s="165"/>
      <c r="F25" s="165"/>
      <c r="G25" s="165"/>
      <c r="H25" s="165"/>
      <c r="I25" s="165"/>
      <c r="J25" s="165"/>
      <c r="K25" s="165"/>
      <c r="L25" s="165"/>
      <c r="M25" s="165"/>
      <c r="N25" s="165"/>
      <c r="O25" s="165"/>
      <c r="P25" s="165"/>
      <c r="Q25" s="165"/>
      <c r="R25" s="165"/>
      <c r="S25" s="146"/>
      <c r="U25" s="1" t="s">
        <v>748</v>
      </c>
      <c r="BA25"/>
      <c r="BB25"/>
      <c r="BC25"/>
      <c r="BD25"/>
      <c r="BE25"/>
      <c r="BF25"/>
      <c r="BG25"/>
      <c r="BH25"/>
      <c r="BI25"/>
      <c r="BJ25"/>
      <c r="BK25"/>
      <c r="BL25"/>
      <c r="BM25"/>
    </row>
    <row r="26" spans="1:65" ht="13.5" customHeight="1">
      <c r="A26" s="155"/>
      <c r="B26" s="95"/>
      <c r="C26" s="96"/>
      <c r="D26" s="96"/>
      <c r="E26" s="96"/>
      <c r="F26" s="96"/>
      <c r="G26" s="97"/>
      <c r="H26" s="426" t="s">
        <v>210</v>
      </c>
      <c r="I26" s="426"/>
      <c r="J26" s="424"/>
      <c r="K26" s="426" t="s">
        <v>211</v>
      </c>
      <c r="L26" s="426"/>
      <c r="M26" s="426"/>
      <c r="N26" s="425" t="s">
        <v>212</v>
      </c>
      <c r="O26" s="426"/>
      <c r="P26" s="426"/>
      <c r="Q26" s="426" t="s">
        <v>213</v>
      </c>
      <c r="R26" s="426"/>
      <c r="S26" s="146"/>
      <c r="AL26" s="5" t="s">
        <v>57</v>
      </c>
      <c r="AM26" s="5"/>
      <c r="AN26" s="5"/>
      <c r="AO26" s="5"/>
      <c r="AP26" s="5"/>
      <c r="AQ26" s="5"/>
      <c r="AR26" s="4" t="s">
        <v>58</v>
      </c>
      <c r="AS26" s="562" t="str">
        <f>IF(K9=0,"",ROUNDDOWN(SUM(AX30:AY30)/G14/$K$9*1000,2))</f>
        <v/>
      </c>
      <c r="AT26" s="562"/>
      <c r="AU26" s="394" t="s">
        <v>59</v>
      </c>
      <c r="AV26" s="4"/>
      <c r="AW26" s="273" t="s">
        <v>60</v>
      </c>
      <c r="AX26" s="4"/>
      <c r="AY26" s="5"/>
      <c r="BC26"/>
      <c r="BD26"/>
      <c r="BE26"/>
      <c r="BF26"/>
      <c r="BG26"/>
      <c r="BH26"/>
      <c r="BI26"/>
      <c r="BJ26"/>
      <c r="BK26"/>
      <c r="BL26"/>
      <c r="BM26"/>
    </row>
    <row r="27" spans="1:65" ht="13.5" customHeight="1">
      <c r="A27" s="147"/>
      <c r="B27" s="98"/>
      <c r="C27" s="99"/>
      <c r="D27" s="99"/>
      <c r="E27" s="99"/>
      <c r="F27" s="99"/>
      <c r="G27" s="100"/>
      <c r="H27" s="451"/>
      <c r="I27" s="453"/>
      <c r="J27" s="453"/>
      <c r="K27" s="473" t="str">
        <f>IF(K9=0,"","("&amp;ROUND(K28/($G$14/10000),0)&amp;" m3/ha)")</f>
        <v/>
      </c>
      <c r="L27" s="474"/>
      <c r="M27" s="475"/>
      <c r="N27" s="451"/>
      <c r="O27" s="453"/>
      <c r="P27" s="452"/>
      <c r="Q27" s="458"/>
      <c r="R27" s="460"/>
      <c r="S27" s="146"/>
    </row>
    <row r="28" spans="1:65" ht="13.5" customHeight="1">
      <c r="A28" s="144"/>
      <c r="B28" s="101" t="s">
        <v>467</v>
      </c>
      <c r="C28" s="70"/>
      <c r="D28" s="70"/>
      <c r="E28" s="70"/>
      <c r="F28" s="70"/>
      <c r="G28" s="102"/>
      <c r="H28" s="476" t="s">
        <v>215</v>
      </c>
      <c r="I28" s="477"/>
      <c r="J28" s="477"/>
      <c r="K28" s="476">
        <f>E188</f>
        <v>0</v>
      </c>
      <c r="L28" s="477"/>
      <c r="M28" s="478"/>
      <c r="N28" s="476">
        <f>E193</f>
        <v>0</v>
      </c>
      <c r="O28" s="477"/>
      <c r="P28" s="478"/>
      <c r="Q28" s="456" t="str">
        <f>IF(K28&lt;=N28,"ＯＫ","ＮＧ")</f>
        <v>ＯＫ</v>
      </c>
      <c r="R28" s="457"/>
      <c r="S28" s="146"/>
      <c r="AK28" s="171"/>
      <c r="AL28" s="189"/>
    </row>
    <row r="29" spans="1:65" ht="13.5" customHeight="1" thickBot="1">
      <c r="A29" s="158"/>
      <c r="B29" s="159"/>
      <c r="C29" s="160"/>
      <c r="D29" s="160"/>
      <c r="E29" s="160"/>
      <c r="F29" s="160"/>
      <c r="G29" s="160"/>
      <c r="H29" s="160"/>
      <c r="I29" s="160"/>
      <c r="J29" s="160"/>
      <c r="K29" s="160"/>
      <c r="L29" s="160"/>
      <c r="M29" s="160"/>
      <c r="N29" s="160"/>
      <c r="O29" s="160"/>
      <c r="P29" s="160"/>
      <c r="Q29" s="159"/>
      <c r="R29" s="159"/>
      <c r="S29" s="161"/>
      <c r="AK29" s="111"/>
      <c r="AL29" s="872" t="s">
        <v>52</v>
      </c>
      <c r="AM29" s="872"/>
      <c r="AN29" s="871" t="s">
        <v>302</v>
      </c>
      <c r="AO29" s="871"/>
      <c r="AP29" s="869" t="s">
        <v>53</v>
      </c>
      <c r="AQ29" s="869"/>
      <c r="AR29" s="872" t="s">
        <v>304</v>
      </c>
      <c r="AS29" s="873"/>
      <c r="AT29" s="872" t="s">
        <v>305</v>
      </c>
      <c r="AU29" s="873"/>
      <c r="AV29" s="873" t="s">
        <v>54</v>
      </c>
      <c r="AW29" s="873"/>
      <c r="AX29" s="869" t="s">
        <v>55</v>
      </c>
      <c r="AY29" s="869"/>
      <c r="AZ29" s="869" t="s">
        <v>56</v>
      </c>
      <c r="BA29" s="869"/>
    </row>
    <row r="30" spans="1:65" ht="13.5" customHeight="1">
      <c r="A30" s="136"/>
      <c r="B30" s="136"/>
      <c r="C30" s="136"/>
      <c r="D30" s="369"/>
      <c r="E30" s="370"/>
      <c r="F30" s="370"/>
      <c r="G30" s="370"/>
      <c r="H30" s="370"/>
      <c r="I30" s="370"/>
      <c r="J30" s="370"/>
      <c r="K30" s="370"/>
      <c r="L30" s="327"/>
      <c r="M30" s="136"/>
      <c r="N30" s="136"/>
      <c r="O30" s="136"/>
      <c r="P30" s="136"/>
      <c r="Q30" s="136"/>
      <c r="R30" s="136"/>
      <c r="S30" s="136"/>
      <c r="AK30" s="111"/>
      <c r="AL30" s="870">
        <f>IF(D22&lt;&gt;0,VLOOKUP(D22,$AO$8:$AW$8,9),0)</f>
        <v>0</v>
      </c>
      <c r="AM30" s="870"/>
      <c r="AN30" s="870">
        <f>IF(D22&lt;&gt;0,$K$17,0)</f>
        <v>0.02</v>
      </c>
      <c r="AO30" s="870"/>
      <c r="AP30" s="870">
        <f>ROUND(AL30*AN30,3)</f>
        <v>0</v>
      </c>
      <c r="AQ30" s="870"/>
      <c r="AR30" s="874">
        <f>IF(D22&lt;&gt;0,0.9,0)</f>
        <v>0.9</v>
      </c>
      <c r="AS30" s="874"/>
      <c r="AT30" s="874">
        <f>IF(D22="",0,IF($K$18="1.0m以上",1,0.9))</f>
        <v>0.9</v>
      </c>
      <c r="AU30" s="874"/>
      <c r="AV30" s="876">
        <v>0.8</v>
      </c>
      <c r="AW30" s="876"/>
      <c r="AX30" s="870">
        <f>ROUND(AP30*AR30*AT30*AV30,3)</f>
        <v>0</v>
      </c>
      <c r="AY30" s="870"/>
      <c r="AZ30" s="870">
        <f>IF(D22="矩形ます(側面・底面浸透)",I22*K22*M22*$K$16*O22,0)</f>
        <v>0</v>
      </c>
      <c r="BA30" s="870"/>
    </row>
    <row r="31" spans="1:65" s="1" customFormat="1" ht="13.5" customHeight="1">
      <c r="A31" s="327"/>
      <c r="B31" s="327"/>
      <c r="C31" s="327"/>
      <c r="D31" s="327"/>
      <c r="E31" s="327"/>
      <c r="F31" s="327"/>
      <c r="G31" s="327"/>
      <c r="H31" s="327"/>
      <c r="I31" s="327"/>
      <c r="J31" s="327"/>
      <c r="K31" s="327"/>
      <c r="L31" s="327"/>
      <c r="M31" s="327"/>
      <c r="N31" s="327"/>
      <c r="O31" s="327"/>
      <c r="P31" s="327"/>
      <c r="Q31" s="327"/>
      <c r="R31" s="327"/>
      <c r="S31" s="327"/>
    </row>
    <row r="32" spans="1:65" ht="13.5" customHeight="1">
      <c r="A32" s="133" t="str">
        <f>"雨水流出抑制計算書（造成宅地に設置する浸透型抑制施設"&amp;"　宅地面積 "&amp;K5&amp;" m2以下 ） "</f>
        <v xml:space="preserve">雨水流出抑制計算書（造成宅地に設置する浸透型抑制施設　宅地面積  m2以下 ） </v>
      </c>
      <c r="B32" s="44"/>
      <c r="C32" s="44"/>
      <c r="D32" s="44"/>
      <c r="E32" s="44"/>
      <c r="F32" s="44"/>
      <c r="G32" s="44"/>
      <c r="H32" s="44"/>
      <c r="I32" s="44"/>
      <c r="J32" s="44"/>
      <c r="K32" s="44"/>
      <c r="L32" s="44"/>
      <c r="M32" s="44"/>
      <c r="N32" s="44"/>
      <c r="O32" s="44"/>
      <c r="P32" s="44"/>
      <c r="Q32" s="44"/>
      <c r="R32" s="44"/>
      <c r="S32" s="44"/>
      <c r="T32" s="44">
        <v>1</v>
      </c>
      <c r="U32" s="44"/>
    </row>
    <row r="33" spans="1:55" ht="13.5" customHeight="1">
      <c r="A33" s="133"/>
      <c r="B33" s="44"/>
      <c r="C33" s="44"/>
      <c r="D33" s="44"/>
      <c r="E33" s="44"/>
      <c r="F33" s="44"/>
      <c r="G33" s="44"/>
      <c r="H33" s="44"/>
      <c r="I33" s="44"/>
      <c r="J33" s="44"/>
      <c r="K33" s="44"/>
      <c r="L33" s="44"/>
      <c r="M33" s="44"/>
      <c r="N33" s="44"/>
      <c r="O33" s="44"/>
      <c r="P33" s="44"/>
      <c r="Q33" s="44"/>
      <c r="R33" s="44"/>
      <c r="S33" s="44"/>
      <c r="T33" s="44">
        <f t="shared" ref="T33:T99" si="1">T32+1</f>
        <v>2</v>
      </c>
      <c r="U33" s="44"/>
      <c r="BB33" s="173"/>
    </row>
    <row r="34" spans="1:55" ht="13.5" customHeight="1">
      <c r="A34" s="133"/>
      <c r="B34" s="44" t="s">
        <v>640</v>
      </c>
      <c r="C34" s="44"/>
      <c r="D34" s="44"/>
      <c r="E34" s="44"/>
      <c r="F34" s="44"/>
      <c r="G34" s="44"/>
      <c r="H34" s="44"/>
      <c r="I34" s="44"/>
      <c r="J34" s="44"/>
      <c r="K34" s="44"/>
      <c r="L34" s="44"/>
      <c r="M34" s="44"/>
      <c r="N34" s="44"/>
      <c r="O34" s="44"/>
      <c r="P34" s="44"/>
      <c r="Q34" s="44"/>
      <c r="R34" s="44"/>
      <c r="S34" s="44"/>
      <c r="T34" s="44">
        <f t="shared" si="1"/>
        <v>3</v>
      </c>
      <c r="U34" s="44"/>
      <c r="AL34" s="557" t="s">
        <v>77</v>
      </c>
      <c r="AM34" s="557"/>
      <c r="AN34" s="112" t="s">
        <v>75</v>
      </c>
      <c r="AO34" s="573" t="e">
        <f>ROUND($AS$26,2)</f>
        <v>#VALUE!</v>
      </c>
      <c r="AP34" s="573"/>
      <c r="AQ34" s="113"/>
      <c r="AR34" s="557" t="s">
        <v>78</v>
      </c>
      <c r="AS34" s="557"/>
      <c r="AT34" s="108" t="s">
        <v>75</v>
      </c>
      <c r="AU34" s="573" t="e">
        <f>ROUND(2*$AX$43*$AS$26-$AT$42*($AV$43-1),2)</f>
        <v>#VALUE!</v>
      </c>
      <c r="AV34" s="573"/>
      <c r="AW34" s="176" t="s">
        <v>79</v>
      </c>
      <c r="AX34" s="112" t="s">
        <v>75</v>
      </c>
      <c r="AY34" s="566" t="e">
        <f>ROUND(($AS$26*$AX$43-$AT$42)*$AX$43,3)</f>
        <v>#VALUE!</v>
      </c>
      <c r="AZ34" s="566"/>
      <c r="BA34" s="566"/>
    </row>
    <row r="35" spans="1:55" ht="13.5" customHeight="1">
      <c r="A35" s="133"/>
      <c r="B35" s="165">
        <v>1</v>
      </c>
      <c r="C35" s="165" t="s">
        <v>18</v>
      </c>
      <c r="D35" s="165"/>
      <c r="E35" s="165"/>
      <c r="F35" s="165"/>
      <c r="G35" s="165"/>
      <c r="H35" s="165"/>
      <c r="I35" s="165"/>
      <c r="J35" s="165"/>
      <c r="K35" s="165"/>
      <c r="L35" s="165"/>
      <c r="M35" s="165"/>
      <c r="N35" s="165"/>
      <c r="O35" s="165"/>
      <c r="P35" s="165"/>
      <c r="Q35" s="165"/>
      <c r="R35" s="165"/>
      <c r="S35" s="44"/>
      <c r="T35" s="44">
        <f t="shared" si="1"/>
        <v>4</v>
      </c>
      <c r="U35" s="44"/>
      <c r="AL35" s="557" t="s">
        <v>81</v>
      </c>
      <c r="AM35" s="557"/>
      <c r="AN35" s="112" t="s">
        <v>75</v>
      </c>
      <c r="AO35" s="877" t="e">
        <f>2*ROUND($AS$26,2)</f>
        <v>#VALUE!</v>
      </c>
      <c r="AP35" s="877"/>
      <c r="AQ35" s="113"/>
      <c r="AR35" s="557" t="s">
        <v>82</v>
      </c>
      <c r="AS35" s="557"/>
      <c r="AT35" s="106" t="s">
        <v>75</v>
      </c>
      <c r="AU35" s="568" t="e">
        <f>ROUND($AV$36^$AV$43,3)</f>
        <v>#VALUE!</v>
      </c>
      <c r="AV35" s="568"/>
    </row>
    <row r="36" spans="1:55" ht="13.5" customHeight="1">
      <c r="A36" s="133"/>
      <c r="B36" s="165"/>
      <c r="C36" s="373" t="s">
        <v>641</v>
      </c>
      <c r="D36" s="167" t="s">
        <v>673</v>
      </c>
      <c r="E36" s="167"/>
      <c r="F36" s="167"/>
      <c r="G36" s="167"/>
      <c r="H36" s="167"/>
      <c r="I36" s="167"/>
      <c r="J36" s="167"/>
      <c r="K36" s="879">
        <f>K5</f>
        <v>0</v>
      </c>
      <c r="L36" s="879"/>
      <c r="M36" s="879"/>
      <c r="N36" s="336"/>
      <c r="O36" s="165"/>
      <c r="P36" s="165"/>
      <c r="Q36" s="165"/>
      <c r="R36" s="165"/>
      <c r="S36" s="44"/>
      <c r="T36" s="44">
        <f t="shared" si="1"/>
        <v>5</v>
      </c>
      <c r="U36" s="44"/>
      <c r="AL36" s="557" t="s">
        <v>83</v>
      </c>
      <c r="AM36" s="557"/>
      <c r="AN36" s="108" t="s">
        <v>75</v>
      </c>
      <c r="AO36" s="569" t="e">
        <f>ROUNDUP($AT$42/(AU35+$AX$43),2)</f>
        <v>#VALUE!</v>
      </c>
      <c r="AP36" s="570"/>
      <c r="AQ36" s="1" t="s">
        <v>59</v>
      </c>
      <c r="AT36" s="176" t="s">
        <v>84</v>
      </c>
      <c r="AU36" s="112" t="s">
        <v>75</v>
      </c>
      <c r="AV36" s="875" t="e">
        <f>ROUND((($AU$34+SQRT($AU$34^2-4*AO34*$AY$34))/(2*AO34))^(1/$AV$43),2)</f>
        <v>#VALUE!</v>
      </c>
      <c r="AW36" s="875"/>
      <c r="AX36" s="114" t="s">
        <v>85</v>
      </c>
      <c r="AY36" s="107"/>
    </row>
    <row r="37" spans="1:55" ht="13.5" customHeight="1">
      <c r="A37" s="133"/>
      <c r="B37" s="165"/>
      <c r="C37" s="373" t="s">
        <v>642</v>
      </c>
      <c r="D37" s="167" t="s">
        <v>674</v>
      </c>
      <c r="E37" s="167"/>
      <c r="F37" s="167"/>
      <c r="G37" s="167"/>
      <c r="H37" s="167"/>
      <c r="I37" s="167"/>
      <c r="J37" s="167"/>
      <c r="K37" s="880">
        <f>K6</f>
        <v>0</v>
      </c>
      <c r="L37" s="880"/>
      <c r="M37" s="880"/>
      <c r="N37" s="336"/>
      <c r="O37" s="165"/>
      <c r="P37" s="165"/>
      <c r="Q37" s="165"/>
      <c r="R37" s="165"/>
      <c r="S37" s="44"/>
      <c r="T37" s="44">
        <f t="shared" si="1"/>
        <v>6</v>
      </c>
      <c r="U37" s="44"/>
      <c r="AL37" s="105" t="s">
        <v>87</v>
      </c>
      <c r="AM37" s="105"/>
      <c r="AN37" s="105"/>
      <c r="AO37" s="105"/>
      <c r="AP37" s="105"/>
    </row>
    <row r="38" spans="1:55" ht="13.5" customHeight="1">
      <c r="A38" s="133"/>
      <c r="B38" s="165"/>
      <c r="C38" s="373" t="s">
        <v>643</v>
      </c>
      <c r="D38" s="167" t="s">
        <v>675</v>
      </c>
      <c r="E38" s="167"/>
      <c r="F38" s="167"/>
      <c r="G38" s="167"/>
      <c r="H38" s="167"/>
      <c r="I38" s="167"/>
      <c r="J38" s="167"/>
      <c r="K38" s="879">
        <f>K7</f>
        <v>0</v>
      </c>
      <c r="L38" s="879"/>
      <c r="M38" s="879"/>
      <c r="N38" s="336"/>
      <c r="O38" s="165"/>
      <c r="P38" s="165"/>
      <c r="Q38" s="165"/>
      <c r="R38" s="165"/>
      <c r="S38" s="44"/>
      <c r="T38" s="44">
        <f t="shared" si="1"/>
        <v>7</v>
      </c>
      <c r="U38" s="44"/>
      <c r="AL38" s="105"/>
      <c r="AM38" s="105" t="s">
        <v>88</v>
      </c>
      <c r="AN38" s="105"/>
      <c r="AO38" s="105" t="s">
        <v>89</v>
      </c>
      <c r="AP38" s="110"/>
      <c r="AQ38" s="110"/>
      <c r="AR38" s="110"/>
      <c r="AS38" s="773">
        <v>15</v>
      </c>
      <c r="AT38" s="773"/>
      <c r="AU38" s="105" t="s">
        <v>90</v>
      </c>
      <c r="AV38" s="105"/>
      <c r="AW38" s="1" t="s">
        <v>91</v>
      </c>
    </row>
    <row r="39" spans="1:55" ht="13.5" customHeight="1">
      <c r="A39" s="133"/>
      <c r="B39" s="165"/>
      <c r="C39" s="373" t="s">
        <v>645</v>
      </c>
      <c r="D39" s="167" t="s">
        <v>676</v>
      </c>
      <c r="E39" s="167"/>
      <c r="F39" s="167"/>
      <c r="G39" s="167"/>
      <c r="H39" s="167"/>
      <c r="I39" s="167"/>
      <c r="J39" s="850">
        <f>J8</f>
        <v>0</v>
      </c>
      <c r="K39" s="850"/>
      <c r="L39" s="850"/>
      <c r="M39" s="850"/>
      <c r="N39" s="149" t="str">
        <f>IF(J39="直接放流(開発区域外)","シート③を使用してください。","")</f>
        <v/>
      </c>
      <c r="O39" s="165"/>
      <c r="P39" s="165"/>
      <c r="Q39" s="165"/>
      <c r="R39" s="165"/>
      <c r="S39" s="44"/>
      <c r="T39" s="44">
        <f t="shared" si="1"/>
        <v>8</v>
      </c>
      <c r="U39" s="44"/>
    </row>
    <row r="40" spans="1:55" ht="13.5" customHeight="1">
      <c r="A40" s="133"/>
      <c r="B40" s="165"/>
      <c r="C40" s="373"/>
      <c r="D40" s="165" t="s">
        <v>677</v>
      </c>
      <c r="E40" s="165"/>
      <c r="F40" s="165"/>
      <c r="G40" s="165"/>
      <c r="H40" s="165"/>
      <c r="I40" s="165"/>
      <c r="J40" s="151" t="s">
        <v>21</v>
      </c>
      <c r="K40" s="664">
        <f>IF($G$14=0,0,ROUNDUP(L45/G45,2))</f>
        <v>0</v>
      </c>
      <c r="L40" s="664"/>
      <c r="M40" s="664"/>
      <c r="N40" s="165" t="s">
        <v>22</v>
      </c>
      <c r="O40" s="150"/>
      <c r="P40" s="165"/>
      <c r="Q40" s="151"/>
      <c r="R40" s="165"/>
      <c r="S40" s="44"/>
      <c r="T40" s="44">
        <f t="shared" si="1"/>
        <v>9</v>
      </c>
      <c r="U40" s="44"/>
      <c r="AK40" s="5"/>
      <c r="AL40" s="5" t="s">
        <v>313</v>
      </c>
      <c r="AM40" s="5" t="s">
        <v>35</v>
      </c>
      <c r="AN40" s="5"/>
      <c r="AO40" s="171"/>
      <c r="AP40" s="171"/>
      <c r="AQ40" s="171"/>
      <c r="AR40" s="171"/>
      <c r="AS40" s="171"/>
      <c r="AT40" s="171"/>
      <c r="AU40" s="171"/>
      <c r="AV40" s="171"/>
      <c r="AW40" s="12"/>
      <c r="AX40" s="12"/>
      <c r="AY40" s="12"/>
      <c r="AZ40" s="12"/>
      <c r="BA40" s="172"/>
      <c r="BB40" s="172"/>
      <c r="BC40" s="172"/>
    </row>
    <row r="41" spans="1:55" ht="13.5" customHeight="1">
      <c r="A41" s="133"/>
      <c r="B41" s="165"/>
      <c r="C41" s="165"/>
      <c r="D41" s="621" t="s">
        <v>23</v>
      </c>
      <c r="E41" s="622"/>
      <c r="F41" s="623"/>
      <c r="G41" s="621" t="s">
        <v>24</v>
      </c>
      <c r="H41" s="622"/>
      <c r="I41" s="623"/>
      <c r="J41" s="621" t="s">
        <v>25</v>
      </c>
      <c r="K41" s="623"/>
      <c r="L41" s="622" t="s">
        <v>26</v>
      </c>
      <c r="M41" s="623"/>
      <c r="N41" s="621" t="s">
        <v>27</v>
      </c>
      <c r="O41" s="622"/>
      <c r="P41" s="622"/>
      <c r="Q41" s="622"/>
      <c r="R41" s="623"/>
      <c r="S41" s="44"/>
      <c r="T41" s="44">
        <f t="shared" si="1"/>
        <v>10</v>
      </c>
      <c r="U41" s="44"/>
      <c r="AK41" s="5"/>
      <c r="AL41" s="5"/>
      <c r="AM41" s="270"/>
      <c r="AN41" s="5" t="s">
        <v>37</v>
      </c>
      <c r="AO41" s="5"/>
      <c r="AP41" s="5"/>
      <c r="AQ41" s="5"/>
      <c r="AR41" s="562" t="str">
        <f>"年超過確率 1/10"</f>
        <v>年超過確率 1/10</v>
      </c>
      <c r="AS41" s="563"/>
      <c r="AT41" s="563"/>
      <c r="AU41" s="563"/>
      <c r="AV41" s="563"/>
      <c r="AW41" s="563"/>
      <c r="AX41" s="563"/>
      <c r="AY41" s="563"/>
      <c r="AZ41" s="563"/>
      <c r="BA41" s="5"/>
      <c r="BB41" s="5"/>
      <c r="BC41" s="5"/>
    </row>
    <row r="42" spans="1:55" ht="13.5" customHeight="1">
      <c r="A42" s="133"/>
      <c r="B42" s="165"/>
      <c r="C42" s="165"/>
      <c r="D42" s="851" t="str">
        <f>D11</f>
        <v>屋根</v>
      </c>
      <c r="E42" s="852"/>
      <c r="F42" s="853"/>
      <c r="G42" s="854">
        <f>G11</f>
        <v>0</v>
      </c>
      <c r="H42" s="855"/>
      <c r="I42" s="856"/>
      <c r="J42" s="680">
        <f>J11</f>
        <v>0.9</v>
      </c>
      <c r="K42" s="857"/>
      <c r="L42" s="712">
        <f>L11</f>
        <v>0</v>
      </c>
      <c r="M42" s="713"/>
      <c r="N42" s="858" t="str">
        <f>N11</f>
        <v>m2×0%</v>
      </c>
      <c r="O42" s="859"/>
      <c r="P42" s="859"/>
      <c r="Q42" s="859"/>
      <c r="R42" s="860"/>
      <c r="S42" s="44"/>
      <c r="T42" s="44">
        <f t="shared" si="1"/>
        <v>11</v>
      </c>
      <c r="U42" s="44"/>
      <c r="AK42" s="5"/>
      <c r="AL42" s="5"/>
      <c r="AM42" s="562"/>
      <c r="AN42" s="4" t="s">
        <v>38</v>
      </c>
      <c r="AO42" s="4"/>
      <c r="AP42" s="4"/>
      <c r="AQ42" s="4"/>
      <c r="AR42" s="562" t="s">
        <v>39</v>
      </c>
      <c r="AS42" s="562"/>
      <c r="AT42" s="564">
        <f>VLOOKUP($AR$41,計画降雨名称・定数,2,FALSE)</f>
        <v>1695</v>
      </c>
      <c r="AU42" s="564"/>
      <c r="AV42" s="564"/>
      <c r="AW42" s="564"/>
      <c r="AX42" s="564"/>
      <c r="AY42" s="564"/>
      <c r="AZ42" s="564"/>
      <c r="BA42" s="4"/>
      <c r="BB42" s="4"/>
      <c r="BC42" s="5"/>
    </row>
    <row r="43" spans="1:55" ht="13.5" customHeight="1">
      <c r="A43" s="133"/>
      <c r="B43" s="165"/>
      <c r="C43" s="165"/>
      <c r="D43" s="841" t="str">
        <f>D12</f>
        <v>間地</v>
      </c>
      <c r="E43" s="842"/>
      <c r="F43" s="843"/>
      <c r="G43" s="844">
        <f>G12</f>
        <v>0</v>
      </c>
      <c r="H43" s="845"/>
      <c r="I43" s="846"/>
      <c r="J43" s="693">
        <f>J12</f>
        <v>0.2</v>
      </c>
      <c r="K43" s="694"/>
      <c r="L43" s="714">
        <f>L12</f>
        <v>0</v>
      </c>
      <c r="M43" s="715"/>
      <c r="N43" s="847" t="str">
        <f>N12</f>
        <v>m2×100%-m2</v>
      </c>
      <c r="O43" s="848"/>
      <c r="P43" s="848"/>
      <c r="Q43" s="848"/>
      <c r="R43" s="849"/>
      <c r="S43" s="44"/>
      <c r="T43" s="44">
        <f t="shared" si="1"/>
        <v>12</v>
      </c>
      <c r="U43" s="44"/>
      <c r="AK43" s="5"/>
      <c r="AL43" s="5"/>
      <c r="AM43" s="562"/>
      <c r="AN43" s="4"/>
      <c r="AO43" s="4"/>
      <c r="AP43" s="4"/>
      <c r="AQ43" s="4"/>
      <c r="AR43" s="562"/>
      <c r="AS43" s="562"/>
      <c r="AT43" s="273" t="s">
        <v>40</v>
      </c>
      <c r="AU43" s="273" t="s">
        <v>41</v>
      </c>
      <c r="AV43" s="274">
        <f>VLOOKUP($AR$41,計画降雨名称・定数,4,FALSE)</f>
        <v>0.75</v>
      </c>
      <c r="AW43" s="273" t="s">
        <v>42</v>
      </c>
      <c r="AX43" s="772">
        <f>VLOOKUP($AR$41,計画降雨名称・定数,3,FALSE)</f>
        <v>10</v>
      </c>
      <c r="AY43" s="772"/>
      <c r="AZ43" s="273" t="s">
        <v>43</v>
      </c>
      <c r="BA43" s="4"/>
      <c r="BB43" s="4"/>
      <c r="BC43" s="5"/>
    </row>
    <row r="44" spans="1:55" s="1" customFormat="1" ht="13.5" customHeight="1">
      <c r="A44" s="133"/>
      <c r="B44" s="165"/>
      <c r="C44" s="165"/>
      <c r="D44" s="841" t="str">
        <f>D13</f>
        <v>その他の不透面</v>
      </c>
      <c r="E44" s="842"/>
      <c r="F44" s="843"/>
      <c r="G44" s="844">
        <f>G13</f>
        <v>0</v>
      </c>
      <c r="H44" s="845"/>
      <c r="I44" s="846"/>
      <c r="J44" s="693">
        <f>J13</f>
        <v>0.8</v>
      </c>
      <c r="K44" s="694"/>
      <c r="L44" s="714">
        <f>L13</f>
        <v>0</v>
      </c>
      <c r="M44" s="715"/>
      <c r="N44" s="847" t="str">
        <f>N13</f>
        <v/>
      </c>
      <c r="O44" s="848"/>
      <c r="P44" s="848"/>
      <c r="Q44" s="848"/>
      <c r="R44" s="849"/>
      <c r="S44" s="44"/>
      <c r="T44" s="44">
        <f t="shared" si="1"/>
        <v>13</v>
      </c>
      <c r="U44" s="44"/>
      <c r="AK44" s="5"/>
      <c r="AL44" s="5"/>
      <c r="AM44" s="5"/>
      <c r="AN44" s="5"/>
      <c r="AO44" s="5"/>
      <c r="AP44" s="5"/>
      <c r="AQ44" s="5"/>
      <c r="AR44" s="5"/>
      <c r="AS44" s="5"/>
      <c r="AT44" s="5"/>
      <c r="AU44" s="5"/>
      <c r="AV44" s="5"/>
      <c r="AW44" s="5"/>
      <c r="AX44" s="5"/>
      <c r="AY44" s="5"/>
      <c r="AZ44" s="5"/>
      <c r="BA44" s="5"/>
      <c r="BB44" s="5"/>
      <c r="BC44" s="5"/>
    </row>
    <row r="45" spans="1:55" ht="13.5" customHeight="1">
      <c r="A45" s="133"/>
      <c r="B45" s="165"/>
      <c r="C45" s="165"/>
      <c r="D45" s="613" t="s">
        <v>30</v>
      </c>
      <c r="E45" s="614"/>
      <c r="F45" s="615"/>
      <c r="G45" s="616">
        <f>G14</f>
        <v>0</v>
      </c>
      <c r="H45" s="617"/>
      <c r="I45" s="617"/>
      <c r="J45" s="613"/>
      <c r="K45" s="615"/>
      <c r="L45" s="619">
        <f>L14</f>
        <v>0</v>
      </c>
      <c r="M45" s="620"/>
      <c r="N45" s="621"/>
      <c r="O45" s="622"/>
      <c r="P45" s="622"/>
      <c r="Q45" s="622"/>
      <c r="R45" s="623"/>
      <c r="S45" s="44"/>
      <c r="T45" s="44">
        <f t="shared" si="1"/>
        <v>14</v>
      </c>
      <c r="U45" s="44"/>
      <c r="AK45" s="5"/>
      <c r="AL45" s="5"/>
      <c r="AM45" s="5"/>
      <c r="AN45" s="5"/>
      <c r="AO45" s="171"/>
      <c r="AP45" s="171"/>
      <c r="AQ45" s="171"/>
      <c r="AR45" s="171"/>
      <c r="AS45" s="171"/>
      <c r="AT45" s="171"/>
      <c r="AU45" s="171"/>
      <c r="AV45" s="12"/>
      <c r="AW45" s="12"/>
      <c r="AX45" s="12"/>
      <c r="AY45" s="172"/>
      <c r="AZ45" s="5"/>
      <c r="BA45" s="5"/>
      <c r="BB45" s="5"/>
      <c r="BC45" s="5"/>
    </row>
    <row r="46" spans="1:55" ht="14.25">
      <c r="A46" s="133"/>
      <c r="B46" s="165">
        <v>2</v>
      </c>
      <c r="C46" s="167" t="s">
        <v>44</v>
      </c>
      <c r="D46" s="165"/>
      <c r="E46" s="165"/>
      <c r="F46" s="165"/>
      <c r="G46" s="165"/>
      <c r="H46" s="165"/>
      <c r="I46" s="165"/>
      <c r="J46" s="165"/>
      <c r="K46" s="165"/>
      <c r="L46" s="165"/>
      <c r="M46" s="165"/>
      <c r="N46" s="165"/>
      <c r="O46" s="165"/>
      <c r="P46" s="165"/>
      <c r="Q46" s="165"/>
      <c r="R46" s="165"/>
      <c r="S46" s="44"/>
      <c r="T46" s="44">
        <f t="shared" si="1"/>
        <v>15</v>
      </c>
      <c r="U46" s="44"/>
      <c r="AK46" s="276" t="s">
        <v>310</v>
      </c>
      <c r="AL46" s="5"/>
      <c r="AM46" s="5"/>
      <c r="AN46" s="5"/>
      <c r="AO46" s="5"/>
      <c r="AP46" s="5"/>
      <c r="AQ46" s="5"/>
      <c r="AR46" s="5"/>
      <c r="AS46" s="4" t="s">
        <v>194</v>
      </c>
      <c r="AT46" s="275" t="s">
        <v>75</v>
      </c>
      <c r="AU46" s="771">
        <f>IF($K$9=0,0,ROUND(($AO$36-$AS$26)*$AV$36*60*($K$9*$G$14/10000)/360,2))</f>
        <v>0</v>
      </c>
      <c r="AV46" s="771"/>
      <c r="AW46" s="5" t="s">
        <v>76</v>
      </c>
      <c r="AX46" s="5"/>
      <c r="AY46" s="5"/>
      <c r="AZ46" s="5"/>
      <c r="BA46" s="5"/>
      <c r="BB46" s="5"/>
      <c r="BC46" s="5"/>
    </row>
    <row r="47" spans="1:55" ht="14.25">
      <c r="A47" s="133"/>
      <c r="B47" s="165"/>
      <c r="C47" s="373" t="s">
        <v>654</v>
      </c>
      <c r="D47" s="165" t="s">
        <v>667</v>
      </c>
      <c r="E47" s="165"/>
      <c r="F47" s="165"/>
      <c r="G47" s="165"/>
      <c r="H47" s="165"/>
      <c r="I47" s="165"/>
      <c r="J47" s="151" t="s">
        <v>45</v>
      </c>
      <c r="K47" s="835">
        <f>K16</f>
        <v>0.9</v>
      </c>
      <c r="L47" s="835"/>
      <c r="M47" s="835"/>
      <c r="N47" s="165"/>
      <c r="O47" s="165"/>
      <c r="P47" s="165"/>
      <c r="Q47" s="165"/>
      <c r="R47" s="165"/>
      <c r="S47" s="44"/>
      <c r="T47" s="44">
        <f t="shared" si="1"/>
        <v>16</v>
      </c>
      <c r="U47" s="44"/>
    </row>
    <row r="48" spans="1:55" ht="14.25">
      <c r="A48" s="133"/>
      <c r="B48" s="165"/>
      <c r="C48" s="373" t="s">
        <v>656</v>
      </c>
      <c r="D48" s="167" t="s">
        <v>46</v>
      </c>
      <c r="E48" s="167"/>
      <c r="F48" s="167"/>
      <c r="G48" s="167"/>
      <c r="H48" s="167"/>
      <c r="I48" s="167"/>
      <c r="J48" s="152" t="s">
        <v>47</v>
      </c>
      <c r="K48" s="836">
        <f>K17</f>
        <v>0.02</v>
      </c>
      <c r="L48" s="836"/>
      <c r="M48" s="836"/>
      <c r="N48" s="373"/>
      <c r="O48" s="373"/>
      <c r="P48" s="373"/>
      <c r="Q48" s="151"/>
      <c r="R48" s="151"/>
      <c r="S48" s="44"/>
      <c r="T48" s="44">
        <f t="shared" si="1"/>
        <v>17</v>
      </c>
      <c r="U48" s="44"/>
      <c r="AJ48" s="170"/>
      <c r="AK48" s="277" t="s">
        <v>468</v>
      </c>
      <c r="AL48" s="105"/>
      <c r="AM48" s="105"/>
      <c r="AN48" s="105"/>
      <c r="AO48" s="105"/>
      <c r="AP48" s="105"/>
      <c r="AQ48" s="105"/>
      <c r="AR48" s="105"/>
      <c r="AS48" s="4" t="s">
        <v>217</v>
      </c>
      <c r="AT48" s="279" t="s">
        <v>75</v>
      </c>
      <c r="AU48" s="556">
        <f>ROUND(AS38/10000*G14,2)</f>
        <v>0</v>
      </c>
      <c r="AV48" s="556"/>
      <c r="AW48" s="105" t="s">
        <v>76</v>
      </c>
      <c r="AX48" s="170"/>
    </row>
    <row r="49" spans="1:21" ht="14.25">
      <c r="A49" s="133"/>
      <c r="B49" s="165"/>
      <c r="C49" s="373" t="s">
        <v>658</v>
      </c>
      <c r="D49" s="167" t="s">
        <v>48</v>
      </c>
      <c r="E49" s="167"/>
      <c r="F49" s="167"/>
      <c r="G49" s="167"/>
      <c r="H49" s="167"/>
      <c r="I49" s="167"/>
      <c r="J49" s="152" t="s">
        <v>49</v>
      </c>
      <c r="K49" s="836" t="str">
        <f>K18</f>
        <v>1.0m未満</v>
      </c>
      <c r="L49" s="836"/>
      <c r="M49" s="836"/>
      <c r="N49" s="151"/>
      <c r="O49" s="151"/>
      <c r="P49" s="151"/>
      <c r="Q49" s="151"/>
      <c r="R49" s="151"/>
      <c r="S49" s="44"/>
      <c r="T49" s="44">
        <f t="shared" si="1"/>
        <v>18</v>
      </c>
      <c r="U49" s="44"/>
    </row>
    <row r="50" spans="1:21" ht="14.25">
      <c r="A50" s="133"/>
      <c r="B50" s="165"/>
      <c r="C50" s="373" t="s">
        <v>659</v>
      </c>
      <c r="D50" s="167" t="s">
        <v>646</v>
      </c>
      <c r="E50" s="167"/>
      <c r="F50" s="167"/>
      <c r="G50" s="167"/>
      <c r="H50" s="167"/>
      <c r="I50" s="167"/>
      <c r="J50" s="373"/>
      <c r="K50" s="373"/>
      <c r="L50" s="152"/>
      <c r="M50" s="152"/>
      <c r="N50" s="163"/>
      <c r="O50" s="163"/>
      <c r="P50" s="152"/>
      <c r="Q50" s="164"/>
      <c r="R50" s="164"/>
      <c r="S50" s="44"/>
      <c r="T50" s="44">
        <f t="shared" si="1"/>
        <v>19</v>
      </c>
      <c r="U50" s="44"/>
    </row>
    <row r="51" spans="1:21" ht="14.25">
      <c r="A51" s="133"/>
      <c r="B51" s="165"/>
      <c r="C51" s="373"/>
      <c r="D51" s="580" t="s">
        <v>647</v>
      </c>
      <c r="E51" s="580"/>
      <c r="F51" s="580"/>
      <c r="G51" s="580"/>
      <c r="H51" s="580"/>
      <c r="I51" s="840" t="s">
        <v>50</v>
      </c>
      <c r="J51" s="840"/>
      <c r="K51" s="840" t="s">
        <v>51</v>
      </c>
      <c r="L51" s="840"/>
      <c r="M51" s="840" t="s">
        <v>678</v>
      </c>
      <c r="N51" s="840"/>
      <c r="O51" s="840" t="s">
        <v>679</v>
      </c>
      <c r="P51" s="840"/>
      <c r="Q51" s="164"/>
      <c r="R51" s="164"/>
      <c r="S51" s="44"/>
      <c r="T51" s="44">
        <f t="shared" si="1"/>
        <v>20</v>
      </c>
      <c r="U51" s="44"/>
    </row>
    <row r="52" spans="1:21" ht="14.25">
      <c r="A52" s="133"/>
      <c r="B52" s="165"/>
      <c r="C52" s="373"/>
      <c r="D52" s="580"/>
      <c r="E52" s="580"/>
      <c r="F52" s="580"/>
      <c r="G52" s="580"/>
      <c r="H52" s="580"/>
      <c r="I52" s="840"/>
      <c r="J52" s="840"/>
      <c r="K52" s="840"/>
      <c r="L52" s="840"/>
      <c r="M52" s="840"/>
      <c r="N52" s="840"/>
      <c r="O52" s="840"/>
      <c r="P52" s="840"/>
      <c r="Q52" s="164"/>
      <c r="R52" s="164"/>
      <c r="S52" s="44"/>
      <c r="T52" s="44">
        <f t="shared" si="1"/>
        <v>21</v>
      </c>
      <c r="U52" s="44"/>
    </row>
    <row r="53" spans="1:21" ht="14.25">
      <c r="A53" s="133"/>
      <c r="B53" s="165"/>
      <c r="C53" s="373"/>
      <c r="D53" s="820" t="s">
        <v>680</v>
      </c>
      <c r="E53" s="821"/>
      <c r="F53" s="821"/>
      <c r="G53" s="821"/>
      <c r="H53" s="822"/>
      <c r="I53" s="837">
        <f>I22</f>
        <v>0</v>
      </c>
      <c r="J53" s="838"/>
      <c r="K53" s="747">
        <f>K22</f>
        <v>0</v>
      </c>
      <c r="L53" s="749"/>
      <c r="M53" s="825">
        <f>M22</f>
        <v>0</v>
      </c>
      <c r="N53" s="825"/>
      <c r="O53" s="839">
        <f>O22</f>
        <v>1</v>
      </c>
      <c r="P53" s="839"/>
      <c r="Q53" s="164"/>
      <c r="R53" s="164"/>
      <c r="S53" s="44"/>
      <c r="T53" s="44">
        <f t="shared" si="1"/>
        <v>22</v>
      </c>
      <c r="U53" s="44"/>
    </row>
    <row r="54" spans="1:21" ht="14.25">
      <c r="A54" s="133"/>
      <c r="B54" s="165"/>
      <c r="C54" s="373" t="s">
        <v>672</v>
      </c>
      <c r="D54" s="165" t="s">
        <v>655</v>
      </c>
      <c r="E54" s="165"/>
      <c r="F54" s="165"/>
      <c r="G54" s="165"/>
      <c r="H54" s="165"/>
      <c r="I54" s="165"/>
      <c r="J54" s="753" t="str">
        <f>J23</f>
        <v>市道路排水施設</v>
      </c>
      <c r="K54" s="753"/>
      <c r="L54" s="753"/>
      <c r="M54" s="753"/>
      <c r="N54" s="753"/>
      <c r="O54" s="149">
        <f>O23</f>
        <v>0</v>
      </c>
      <c r="P54" s="165"/>
      <c r="Q54" s="165"/>
      <c r="R54" s="165"/>
      <c r="S54" s="44"/>
      <c r="T54" s="44">
        <f t="shared" si="1"/>
        <v>23</v>
      </c>
      <c r="U54" s="44"/>
    </row>
    <row r="55" spans="1:21" ht="14.25">
      <c r="A55" s="133"/>
      <c r="B55" s="165"/>
      <c r="C55" s="167"/>
      <c r="D55" s="165"/>
      <c r="E55" s="165"/>
      <c r="F55" s="165"/>
      <c r="G55" s="165"/>
      <c r="H55" s="165"/>
      <c r="I55" s="165"/>
      <c r="J55" s="165"/>
      <c r="K55" s="165"/>
      <c r="L55" s="165"/>
      <c r="M55" s="165"/>
      <c r="N55" s="165"/>
      <c r="O55" s="165"/>
      <c r="P55" s="165"/>
      <c r="Q55" s="165"/>
      <c r="R55" s="165"/>
      <c r="S55" s="44"/>
      <c r="T55" s="44">
        <f t="shared" si="1"/>
        <v>24</v>
      </c>
      <c r="U55" s="44"/>
    </row>
    <row r="56" spans="1:21" ht="14.25">
      <c r="A56" s="133"/>
      <c r="B56" s="139" t="s">
        <v>637</v>
      </c>
      <c r="C56" s="165"/>
      <c r="D56" s="165"/>
      <c r="E56" s="165"/>
      <c r="F56" s="165"/>
      <c r="G56" s="165"/>
      <c r="H56" s="165"/>
      <c r="I56" s="165"/>
      <c r="J56" s="165"/>
      <c r="K56" s="165"/>
      <c r="L56" s="165"/>
      <c r="M56" s="165"/>
      <c r="N56" s="165"/>
      <c r="O56" s="165"/>
      <c r="P56" s="165"/>
      <c r="Q56" s="165"/>
      <c r="R56" s="165"/>
      <c r="S56" s="44"/>
      <c r="T56" s="44">
        <f t="shared" si="1"/>
        <v>25</v>
      </c>
      <c r="U56" s="44"/>
    </row>
    <row r="57" spans="1:21" ht="14.25">
      <c r="A57" s="133"/>
      <c r="B57" s="104"/>
      <c r="C57" s="95"/>
      <c r="D57" s="96"/>
      <c r="E57" s="96"/>
      <c r="F57" s="96"/>
      <c r="G57" s="96"/>
      <c r="H57" s="426" t="s">
        <v>210</v>
      </c>
      <c r="I57" s="426"/>
      <c r="J57" s="424"/>
      <c r="K57" s="426" t="s">
        <v>211</v>
      </c>
      <c r="L57" s="426"/>
      <c r="M57" s="426"/>
      <c r="N57" s="425" t="s">
        <v>212</v>
      </c>
      <c r="O57" s="426"/>
      <c r="P57" s="426"/>
      <c r="Q57" s="426" t="s">
        <v>213</v>
      </c>
      <c r="R57" s="426"/>
      <c r="S57" s="44"/>
      <c r="T57" s="44">
        <f>T56+1</f>
        <v>26</v>
      </c>
      <c r="U57" s="44"/>
    </row>
    <row r="58" spans="1:21" ht="14.25">
      <c r="A58" s="133"/>
      <c r="B58" s="104"/>
      <c r="C58" s="98"/>
      <c r="D58" s="99"/>
      <c r="E58" s="99"/>
      <c r="F58" s="99"/>
      <c r="G58" s="99"/>
      <c r="H58" s="451"/>
      <c r="I58" s="453"/>
      <c r="J58" s="453"/>
      <c r="K58" s="473" t="str">
        <f>IF(K40=0,"","("&amp;ROUND(K59/($G$14/10000),0)&amp;" m3/ha)")</f>
        <v/>
      </c>
      <c r="L58" s="474"/>
      <c r="M58" s="475"/>
      <c r="N58" s="451"/>
      <c r="O58" s="453"/>
      <c r="P58" s="452"/>
      <c r="Q58" s="458"/>
      <c r="R58" s="460"/>
      <c r="S58" s="44"/>
      <c r="T58" s="44">
        <f t="shared" si="1"/>
        <v>27</v>
      </c>
      <c r="U58" s="44"/>
    </row>
    <row r="59" spans="1:21" ht="14.25">
      <c r="A59" s="133"/>
      <c r="B59" s="104"/>
      <c r="C59" s="101" t="s">
        <v>663</v>
      </c>
      <c r="D59" s="70"/>
      <c r="E59" s="70"/>
      <c r="F59" s="70"/>
      <c r="G59" s="70"/>
      <c r="H59" s="476" t="str">
        <f>H28</f>
        <v>-</v>
      </c>
      <c r="I59" s="477"/>
      <c r="J59" s="477"/>
      <c r="K59" s="476">
        <f>K28</f>
        <v>0</v>
      </c>
      <c r="L59" s="477"/>
      <c r="M59" s="478"/>
      <c r="N59" s="476">
        <f>N28</f>
        <v>0</v>
      </c>
      <c r="O59" s="477"/>
      <c r="P59" s="478"/>
      <c r="Q59" s="456" t="str">
        <f>Q28</f>
        <v>ＯＫ</v>
      </c>
      <c r="R59" s="457"/>
      <c r="S59" s="44"/>
      <c r="T59" s="44">
        <f t="shared" si="1"/>
        <v>28</v>
      </c>
      <c r="U59" s="44"/>
    </row>
    <row r="60" spans="1:21" ht="14.25">
      <c r="A60" s="133"/>
      <c r="B60" s="44"/>
      <c r="C60" s="44"/>
      <c r="D60" s="44"/>
      <c r="E60" s="44"/>
      <c r="F60" s="44"/>
      <c r="G60" s="44"/>
      <c r="H60" s="44"/>
      <c r="I60" s="44"/>
      <c r="J60" s="44"/>
      <c r="K60" s="44"/>
      <c r="L60" s="44"/>
      <c r="M60" s="44"/>
      <c r="N60" s="44"/>
      <c r="O60" s="44"/>
      <c r="P60" s="44"/>
      <c r="Q60" s="44"/>
      <c r="R60" s="44"/>
      <c r="S60" s="44"/>
      <c r="T60" s="44">
        <f>T59+1</f>
        <v>29</v>
      </c>
      <c r="U60" s="44"/>
    </row>
    <row r="61" spans="1:21" ht="14.25">
      <c r="A61" s="133"/>
      <c r="B61" s="44"/>
      <c r="C61" s="44"/>
      <c r="D61" s="44"/>
      <c r="E61" s="44"/>
      <c r="F61" s="44"/>
      <c r="G61" s="44"/>
      <c r="H61" s="44"/>
      <c r="I61" s="44"/>
      <c r="J61" s="44"/>
      <c r="K61" s="44"/>
      <c r="L61" s="44"/>
      <c r="M61" s="44"/>
      <c r="N61" s="44"/>
      <c r="O61" s="44"/>
      <c r="P61" s="44"/>
      <c r="Q61" s="44"/>
      <c r="R61" s="44"/>
      <c r="S61" s="44"/>
      <c r="T61" s="44">
        <f>T60+1</f>
        <v>30</v>
      </c>
      <c r="U61" s="44"/>
    </row>
    <row r="62" spans="1:21" ht="14.25">
      <c r="A62" s="134" t="s">
        <v>96</v>
      </c>
      <c r="B62" s="30"/>
      <c r="C62" s="30"/>
      <c r="D62" s="30"/>
      <c r="E62" s="30"/>
      <c r="F62" s="30"/>
      <c r="G62" s="30"/>
      <c r="H62" s="30"/>
      <c r="I62" s="30"/>
      <c r="J62" s="30"/>
      <c r="K62" s="30"/>
      <c r="L62" s="30"/>
      <c r="M62" s="30"/>
      <c r="N62" s="30"/>
      <c r="O62" s="30"/>
      <c r="P62" s="30"/>
      <c r="Q62" s="30"/>
      <c r="R62" s="30"/>
      <c r="S62" s="30"/>
      <c r="T62" s="44">
        <v>1</v>
      </c>
      <c r="U62" s="44"/>
    </row>
    <row r="63" spans="1:21" ht="14.25">
      <c r="A63" s="30"/>
      <c r="B63" s="38" t="str">
        <f>"  　洪水の規模が年超過確率で "&amp;IF(AR41="年超過確率 1/50","1/50",IF(AR41="年超過確率 1/30","1/30",IF(AR41="年超過確率 1/10","1/10",IF(AR41="年超過確率 1/5(長期)","1/5(長期)",IF(AR41="年超過確率 1/5(短期)","1/5(短期)","")))))&amp;" 以下のすべての洪水について開発後における"</f>
        <v xml:space="preserve">  　洪水の規模が年超過確率で 1/10 以下のすべての洪水について開発後における</v>
      </c>
      <c r="C63" s="38"/>
      <c r="D63" s="38"/>
      <c r="E63" s="38"/>
      <c r="F63" s="30"/>
      <c r="G63" s="30"/>
      <c r="H63" s="30"/>
      <c r="I63" s="54"/>
      <c r="J63" s="54"/>
      <c r="K63" s="54"/>
      <c r="L63" s="38"/>
      <c r="M63" s="55"/>
      <c r="N63" s="44"/>
      <c r="O63" s="38"/>
      <c r="P63" s="38"/>
      <c r="Q63" s="38"/>
      <c r="R63" s="30"/>
      <c r="S63" s="30"/>
      <c r="T63" s="44">
        <f t="shared" si="1"/>
        <v>2</v>
      </c>
      <c r="U63" s="44"/>
    </row>
    <row r="64" spans="1:21" ht="14.25">
      <c r="A64" s="30"/>
      <c r="B64" s="38" t="s">
        <v>370</v>
      </c>
      <c r="C64" s="38"/>
      <c r="D64" s="38"/>
      <c r="E64" s="38"/>
      <c r="F64" s="30"/>
      <c r="G64" s="30"/>
      <c r="H64" s="30"/>
      <c r="I64" s="30"/>
      <c r="J64" s="30"/>
      <c r="K64" s="30"/>
      <c r="L64" s="30"/>
      <c r="M64" s="30"/>
      <c r="N64" s="30"/>
      <c r="O64" s="30"/>
      <c r="P64" s="30"/>
      <c r="Q64" s="30"/>
      <c r="R64" s="30"/>
      <c r="S64" s="30"/>
      <c r="T64" s="44">
        <f t="shared" si="1"/>
        <v>3</v>
      </c>
      <c r="U64" s="44"/>
    </row>
    <row r="65" spans="1:21" ht="14.25">
      <c r="A65" s="30"/>
      <c r="B65" s="38" t="str">
        <f>"  　抑制施設の容量は、 "&amp;IF(AR41="年超過確率 1/50","1/50",IF(AR41="年超過確率 1/30","1/30",IF(AR41="年超過確率 1/10","1/10",IF(AR41="年超過確率 1/5(長期)","1/5(長期)",IF(AR41="年超過確率 1/5(短期)","1/5(短期)","")))))&amp;" 確率降雨強度曲線を用いて求める次式の必要洪水調整"</f>
        <v xml:space="preserve">  　抑制施設の容量は、 1/10 確率降雨強度曲線を用いて求める次式の必要洪水調整</v>
      </c>
      <c r="C65" s="38"/>
      <c r="D65" s="38"/>
      <c r="E65" s="38"/>
      <c r="F65" s="30"/>
      <c r="G65" s="30"/>
      <c r="H65" s="30"/>
      <c r="I65" s="54"/>
      <c r="J65" s="54"/>
      <c r="K65" s="54"/>
      <c r="L65" s="38"/>
      <c r="M65" s="55"/>
      <c r="N65" s="44"/>
      <c r="O65" s="38"/>
      <c r="P65" s="38"/>
      <c r="Q65" s="38"/>
      <c r="R65" s="30"/>
      <c r="S65" s="30"/>
      <c r="T65" s="44">
        <f t="shared" si="1"/>
        <v>4</v>
      </c>
      <c r="U65" s="44"/>
    </row>
    <row r="66" spans="1:21" ht="14.25">
      <c r="A66" s="30"/>
      <c r="B66" s="38" t="s">
        <v>460</v>
      </c>
      <c r="C66" s="38"/>
      <c r="D66" s="38"/>
      <c r="E66" s="38"/>
      <c r="F66" s="30"/>
      <c r="G66" s="30"/>
      <c r="H66" s="30"/>
      <c r="I66" s="30"/>
      <c r="J66" s="30"/>
      <c r="K66" s="30"/>
      <c r="L66" s="30"/>
      <c r="M66" s="30"/>
      <c r="N66" s="30"/>
      <c r="O66" s="30"/>
      <c r="P66" s="30"/>
      <c r="Q66" s="30"/>
      <c r="R66" s="30"/>
      <c r="S66" s="30"/>
      <c r="T66" s="44">
        <f t="shared" si="1"/>
        <v>5</v>
      </c>
      <c r="U66" s="44"/>
    </row>
    <row r="67" spans="1:21" ht="14.25">
      <c r="A67" s="30"/>
      <c r="B67" s="356"/>
      <c r="C67" s="356"/>
      <c r="D67" s="356"/>
      <c r="E67" s="356"/>
      <c r="F67" s="356"/>
      <c r="G67" s="31"/>
      <c r="H67" s="346"/>
      <c r="I67" s="31"/>
      <c r="J67" s="31"/>
      <c r="K67" s="31"/>
      <c r="L67" s="31"/>
      <c r="M67" s="31"/>
      <c r="N67" s="31"/>
      <c r="O67" s="31"/>
      <c r="P67" s="346"/>
      <c r="Q67" s="31"/>
      <c r="R67" s="30"/>
      <c r="S67" s="30"/>
      <c r="T67" s="44">
        <f t="shared" si="1"/>
        <v>6</v>
      </c>
      <c r="U67" s="44"/>
    </row>
    <row r="68" spans="1:21" ht="14.25">
      <c r="A68" s="30"/>
      <c r="B68" s="356"/>
      <c r="C68" s="356"/>
      <c r="D68" s="356"/>
      <c r="E68" s="356"/>
      <c r="F68" s="356"/>
      <c r="G68" s="31"/>
      <c r="H68" s="346"/>
      <c r="I68" s="31"/>
      <c r="J68" s="31"/>
      <c r="K68" s="31"/>
      <c r="L68" s="31"/>
      <c r="M68" s="31"/>
      <c r="N68" s="31"/>
      <c r="O68" s="31"/>
      <c r="P68" s="346"/>
      <c r="Q68" s="31"/>
      <c r="R68" s="30"/>
      <c r="S68" s="30"/>
      <c r="T68" s="44">
        <f t="shared" si="1"/>
        <v>7</v>
      </c>
      <c r="U68" s="44"/>
    </row>
    <row r="69" spans="1:21" ht="14.25">
      <c r="A69" s="30"/>
      <c r="B69" s="356"/>
      <c r="C69" s="356"/>
      <c r="D69" s="356"/>
      <c r="E69" s="356"/>
      <c r="F69" s="356"/>
      <c r="G69" s="31"/>
      <c r="H69" s="346"/>
      <c r="I69" s="31"/>
      <c r="J69" s="31"/>
      <c r="K69" s="31"/>
      <c r="L69" s="31"/>
      <c r="M69" s="31"/>
      <c r="N69" s="31"/>
      <c r="O69" s="31"/>
      <c r="P69" s="346"/>
      <c r="Q69" s="289"/>
      <c r="R69" s="30"/>
      <c r="S69" s="30"/>
      <c r="T69" s="44">
        <f t="shared" si="1"/>
        <v>8</v>
      </c>
      <c r="U69" s="44"/>
    </row>
    <row r="70" spans="1:21" ht="14.25">
      <c r="A70" s="30"/>
      <c r="B70" s="356"/>
      <c r="C70" s="356"/>
      <c r="D70" s="356"/>
      <c r="E70" s="356"/>
      <c r="F70" s="356"/>
      <c r="G70" s="31"/>
      <c r="H70" s="346"/>
      <c r="I70" s="31"/>
      <c r="J70" s="31"/>
      <c r="K70" s="31"/>
      <c r="L70" s="31"/>
      <c r="M70" s="31"/>
      <c r="N70" s="31"/>
      <c r="O70" s="31"/>
      <c r="P70" s="346"/>
      <c r="Q70" s="289"/>
      <c r="R70" s="30"/>
      <c r="S70" s="30"/>
      <c r="T70" s="44">
        <f t="shared" si="1"/>
        <v>9</v>
      </c>
      <c r="U70" s="44"/>
    </row>
    <row r="71" spans="1:21" ht="14.25">
      <c r="A71" s="30"/>
      <c r="B71" s="44"/>
      <c r="C71" s="44" t="s">
        <v>100</v>
      </c>
      <c r="D71" s="46"/>
      <c r="E71" s="47" t="s">
        <v>446</v>
      </c>
      <c r="F71" s="285" t="s">
        <v>102</v>
      </c>
      <c r="G71" s="30" t="s">
        <v>447</v>
      </c>
      <c r="H71" s="30"/>
      <c r="I71" s="30"/>
      <c r="J71" s="30"/>
      <c r="K71" s="30"/>
      <c r="L71" s="30"/>
      <c r="M71" s="30"/>
      <c r="N71" s="30"/>
      <c r="O71" s="30"/>
      <c r="P71" s="30"/>
      <c r="Q71" s="30"/>
      <c r="R71" s="30"/>
      <c r="S71" s="30"/>
      <c r="T71" s="44">
        <f t="shared" si="1"/>
        <v>10</v>
      </c>
      <c r="U71" s="44"/>
    </row>
    <row r="72" spans="1:21" ht="14.25">
      <c r="A72" s="30"/>
      <c r="B72" s="44"/>
      <c r="C72" s="44"/>
      <c r="D72" s="46"/>
      <c r="E72" s="47" t="s">
        <v>83</v>
      </c>
      <c r="F72" s="48" t="s">
        <v>102</v>
      </c>
      <c r="G72" s="54" t="str">
        <f>IF(AR41="年超過確率 1/50","1/50",IF(AR41="年超過確率 1/30","1/30",IF(AR41="年超過確率 1/10","1/10",IF(AR41="年超過確率 1/5(長期)","1/5(長期)",IF(AR41="年超過確率 1/5(短期)","1/5(短期)","")))))&amp;" 年確率降雨強度曲線上の任意の継続時間（ti）"</f>
        <v>1/10 年確率降雨強度曲線上の任意の継続時間（ti）</v>
      </c>
      <c r="H72" s="54"/>
      <c r="I72" s="54"/>
      <c r="J72" s="38"/>
      <c r="K72" s="38"/>
      <c r="L72" s="38"/>
      <c r="M72" s="38"/>
      <c r="N72" s="30"/>
      <c r="O72" s="30"/>
      <c r="P72" s="30"/>
      <c r="Q72" s="30"/>
      <c r="R72" s="30"/>
      <c r="S72" s="30"/>
      <c r="T72" s="44">
        <f t="shared" si="1"/>
        <v>11</v>
      </c>
      <c r="U72" s="44"/>
    </row>
    <row r="73" spans="1:21" ht="14.25">
      <c r="A73" s="30"/>
      <c r="B73" s="44"/>
      <c r="C73" s="44"/>
      <c r="D73" s="49"/>
      <c r="E73" s="50"/>
      <c r="F73" s="48"/>
      <c r="G73" s="38" t="s">
        <v>103</v>
      </c>
      <c r="H73" s="38"/>
      <c r="I73" s="30"/>
      <c r="J73" s="30"/>
      <c r="K73" s="30"/>
      <c r="L73" s="30"/>
      <c r="M73" s="30"/>
      <c r="N73" s="30"/>
      <c r="O73" s="30"/>
      <c r="P73" s="30"/>
      <c r="Q73" s="30"/>
      <c r="R73" s="30"/>
      <c r="S73" s="30"/>
      <c r="T73" s="44">
        <f t="shared" si="1"/>
        <v>12</v>
      </c>
      <c r="U73" s="44"/>
    </row>
    <row r="74" spans="1:21" ht="14.25">
      <c r="A74" s="30"/>
      <c r="B74" s="44"/>
      <c r="C74" s="44"/>
      <c r="D74" s="46"/>
      <c r="E74" s="47" t="s">
        <v>98</v>
      </c>
      <c r="F74" s="48" t="s">
        <v>102</v>
      </c>
      <c r="G74" s="30" t="s">
        <v>739</v>
      </c>
      <c r="H74" s="30"/>
      <c r="I74" s="30"/>
      <c r="J74" s="30"/>
      <c r="K74" s="30"/>
      <c r="L74" s="30"/>
      <c r="M74" s="30"/>
      <c r="N74" s="30"/>
      <c r="O74" s="30"/>
      <c r="P74" s="44"/>
      <c r="Q74" s="30"/>
      <c r="R74" s="30"/>
      <c r="S74" s="30"/>
      <c r="T74" s="44">
        <f t="shared" si="1"/>
        <v>13</v>
      </c>
      <c r="U74" s="44"/>
    </row>
    <row r="75" spans="1:21" ht="16.5">
      <c r="A75" s="30"/>
      <c r="B75" s="30"/>
      <c r="C75" s="30"/>
      <c r="D75" s="30"/>
      <c r="E75" s="47" t="s">
        <v>104</v>
      </c>
      <c r="F75" s="48" t="s">
        <v>102</v>
      </c>
      <c r="G75" s="30" t="s">
        <v>509</v>
      </c>
      <c r="H75" s="30"/>
      <c r="I75" s="30"/>
      <c r="J75" s="30"/>
      <c r="K75" s="30"/>
      <c r="L75" s="30"/>
      <c r="M75" s="30"/>
      <c r="N75" s="30"/>
      <c r="O75" s="30"/>
      <c r="P75" s="30"/>
      <c r="Q75" s="30"/>
      <c r="R75" s="30"/>
      <c r="S75" s="30"/>
      <c r="T75" s="44">
        <f t="shared" si="1"/>
        <v>14</v>
      </c>
      <c r="U75" s="44"/>
    </row>
    <row r="76" spans="1:21" ht="14.25">
      <c r="A76" s="30"/>
      <c r="B76" s="30"/>
      <c r="C76" s="30"/>
      <c r="D76" s="30"/>
      <c r="E76" s="47" t="s">
        <v>99</v>
      </c>
      <c r="F76" s="48" t="s">
        <v>102</v>
      </c>
      <c r="G76" s="51" t="s">
        <v>740</v>
      </c>
      <c r="H76" s="51"/>
      <c r="I76" s="51"/>
      <c r="J76" s="30"/>
      <c r="K76" s="30"/>
      <c r="L76" s="30"/>
      <c r="M76" s="30"/>
      <c r="N76" s="30"/>
      <c r="O76" s="30"/>
      <c r="P76" s="30"/>
      <c r="Q76" s="30"/>
      <c r="R76" s="30"/>
      <c r="S76" s="30"/>
      <c r="T76" s="44">
        <f t="shared" si="1"/>
        <v>15</v>
      </c>
      <c r="U76" s="44"/>
    </row>
    <row r="77" spans="1:21" ht="16.5">
      <c r="A77" s="30"/>
      <c r="B77" s="30"/>
      <c r="C77" s="30"/>
      <c r="D77" s="30"/>
      <c r="E77" s="47" t="s">
        <v>105</v>
      </c>
      <c r="F77" s="48" t="s">
        <v>102</v>
      </c>
      <c r="G77" s="30" t="s">
        <v>106</v>
      </c>
      <c r="H77" s="30"/>
      <c r="I77" s="30"/>
      <c r="J77" s="30"/>
      <c r="K77" s="30"/>
      <c r="L77" s="44"/>
      <c r="M77" s="30"/>
      <c r="N77" s="30"/>
      <c r="O77" s="30"/>
      <c r="P77" s="30"/>
      <c r="Q77" s="30"/>
      <c r="R77" s="30"/>
      <c r="S77" s="30"/>
      <c r="T77" s="44">
        <f t="shared" si="1"/>
        <v>16</v>
      </c>
      <c r="U77" s="44"/>
    </row>
    <row r="78" spans="1:21" ht="14.25">
      <c r="A78" s="30"/>
      <c r="B78" s="44"/>
      <c r="C78" s="44"/>
      <c r="D78" s="46"/>
      <c r="E78" s="47" t="s">
        <v>84</v>
      </c>
      <c r="F78" s="48" t="s">
        <v>102</v>
      </c>
      <c r="G78" s="30" t="s">
        <v>510</v>
      </c>
      <c r="H78" s="30"/>
      <c r="I78" s="30"/>
      <c r="J78" s="30"/>
      <c r="K78" s="30"/>
      <c r="L78" s="30"/>
      <c r="M78" s="30"/>
      <c r="N78" s="30"/>
      <c r="O78" s="30"/>
      <c r="P78" s="30"/>
      <c r="Q78" s="30"/>
      <c r="R78" s="30"/>
      <c r="S78" s="30"/>
      <c r="T78" s="44">
        <f t="shared" si="1"/>
        <v>17</v>
      </c>
      <c r="U78" s="44"/>
    </row>
    <row r="79" spans="1:21" ht="14.25" customHeight="1">
      <c r="A79" s="30"/>
      <c r="B79" s="44"/>
      <c r="C79" s="44"/>
      <c r="D79" s="46"/>
      <c r="E79" s="47" t="s">
        <v>107</v>
      </c>
      <c r="F79" s="48" t="s">
        <v>102</v>
      </c>
      <c r="G79" s="30" t="s">
        <v>108</v>
      </c>
      <c r="H79" s="30"/>
      <c r="I79" s="30"/>
      <c r="J79" s="30"/>
      <c r="K79" s="30"/>
      <c r="L79" s="30"/>
      <c r="M79" s="30"/>
      <c r="N79" s="30"/>
      <c r="O79" s="30"/>
      <c r="P79" s="30"/>
      <c r="Q79" s="30"/>
      <c r="R79" s="30"/>
      <c r="S79" s="30"/>
      <c r="T79" s="44">
        <f t="shared" si="1"/>
        <v>18</v>
      </c>
      <c r="U79" s="44"/>
    </row>
    <row r="80" spans="1:21" ht="14.25">
      <c r="A80" s="30"/>
      <c r="B80" s="44"/>
      <c r="C80" s="44"/>
      <c r="D80" s="46"/>
      <c r="E80" s="47" t="s">
        <v>77</v>
      </c>
      <c r="F80" s="48" t="s">
        <v>102</v>
      </c>
      <c r="G80" s="30" t="s">
        <v>109</v>
      </c>
      <c r="H80" s="30"/>
      <c r="I80" s="30"/>
      <c r="J80" s="30"/>
      <c r="K80" s="30"/>
      <c r="L80" s="30"/>
      <c r="M80" s="30"/>
      <c r="N80" s="30"/>
      <c r="O80" s="30"/>
      <c r="P80" s="30"/>
      <c r="Q80" s="30"/>
      <c r="R80" s="30"/>
      <c r="S80" s="30"/>
      <c r="T80" s="44">
        <f t="shared" si="1"/>
        <v>19</v>
      </c>
      <c r="U80" s="44"/>
    </row>
    <row r="81" spans="1:65" ht="14.25">
      <c r="A81" s="30"/>
      <c r="B81" s="348"/>
      <c r="C81" s="348"/>
      <c r="D81" s="348"/>
      <c r="E81" s="348"/>
      <c r="F81" s="348"/>
      <c r="G81" s="347"/>
      <c r="H81" s="288"/>
      <c r="I81" s="432"/>
      <c r="J81" s="432"/>
      <c r="K81" s="432"/>
      <c r="L81" s="432"/>
      <c r="M81" s="432"/>
      <c r="N81" s="432"/>
      <c r="O81" s="432"/>
      <c r="P81" s="288"/>
      <c r="Q81" s="289"/>
      <c r="R81" s="30"/>
      <c r="S81" s="30"/>
      <c r="T81" s="44">
        <f t="shared" si="1"/>
        <v>20</v>
      </c>
      <c r="U81" s="44"/>
    </row>
    <row r="82" spans="1:65" ht="14.25">
      <c r="A82" s="30"/>
      <c r="B82" s="348"/>
      <c r="C82" s="348"/>
      <c r="D82" s="348"/>
      <c r="E82" s="348"/>
      <c r="F82" s="348"/>
      <c r="G82" s="347"/>
      <c r="H82" s="288"/>
      <c r="I82" s="432"/>
      <c r="J82" s="432"/>
      <c r="K82" s="432"/>
      <c r="L82" s="432"/>
      <c r="M82" s="432"/>
      <c r="N82" s="432"/>
      <c r="O82" s="432"/>
      <c r="P82" s="288"/>
      <c r="Q82" s="289"/>
      <c r="R82" s="30"/>
      <c r="S82" s="30"/>
      <c r="T82" s="44">
        <f t="shared" si="1"/>
        <v>21</v>
      </c>
      <c r="U82" s="44"/>
      <c r="BL82"/>
      <c r="BM82"/>
    </row>
    <row r="83" spans="1:65" ht="14.25" customHeight="1">
      <c r="A83" s="30"/>
      <c r="B83" s="44"/>
      <c r="C83" s="44" t="s">
        <v>100</v>
      </c>
      <c r="D83" s="46"/>
      <c r="E83" s="47" t="s">
        <v>448</v>
      </c>
      <c r="F83" s="285" t="s">
        <v>102</v>
      </c>
      <c r="G83" s="30" t="s">
        <v>451</v>
      </c>
      <c r="H83" s="30"/>
      <c r="I83" s="30"/>
      <c r="J83" s="30"/>
      <c r="K83" s="30"/>
      <c r="L83" s="30"/>
      <c r="M83" s="30"/>
      <c r="N83" s="30"/>
      <c r="O83" s="30"/>
      <c r="P83" s="30"/>
      <c r="Q83" s="30"/>
      <c r="R83" s="30"/>
      <c r="S83" s="30"/>
      <c r="T83" s="44">
        <f t="shared" si="1"/>
        <v>22</v>
      </c>
      <c r="U83" s="44"/>
      <c r="BL83"/>
      <c r="BM83"/>
    </row>
    <row r="84" spans="1:65" ht="14.25">
      <c r="A84" s="30"/>
      <c r="B84" s="44"/>
      <c r="C84" s="44"/>
      <c r="D84" s="46"/>
      <c r="E84" s="47" t="s">
        <v>449</v>
      </c>
      <c r="F84" s="285" t="s">
        <v>102</v>
      </c>
      <c r="G84" s="30" t="s">
        <v>452</v>
      </c>
      <c r="H84" s="30"/>
      <c r="I84" s="30"/>
      <c r="J84" s="30"/>
      <c r="K84" s="555">
        <f>AS38</f>
        <v>15</v>
      </c>
      <c r="L84" s="555"/>
      <c r="M84" s="30" t="s">
        <v>198</v>
      </c>
      <c r="N84" s="30"/>
      <c r="O84" s="91" t="s">
        <v>91</v>
      </c>
      <c r="P84" s="30"/>
      <c r="Q84" s="30"/>
      <c r="R84" s="120"/>
      <c r="S84" s="30"/>
      <c r="T84" s="44">
        <f t="shared" si="1"/>
        <v>23</v>
      </c>
      <c r="U84" s="44"/>
      <c r="BL84"/>
      <c r="BM84"/>
    </row>
    <row r="85" spans="1:65" ht="14.25">
      <c r="A85" s="30"/>
      <c r="B85" s="30"/>
      <c r="C85" s="30"/>
      <c r="D85" s="30"/>
      <c r="E85" s="30"/>
      <c r="F85" s="30"/>
      <c r="G85" s="30"/>
      <c r="H85" s="30"/>
      <c r="I85" s="30"/>
      <c r="J85" s="30"/>
      <c r="K85" s="30"/>
      <c r="L85" s="30"/>
      <c r="M85" s="30"/>
      <c r="N85" s="30"/>
      <c r="O85" s="30"/>
      <c r="P85" s="30"/>
      <c r="Q85" s="30"/>
      <c r="R85" s="30"/>
      <c r="S85" s="30"/>
      <c r="T85" s="44">
        <f t="shared" si="1"/>
        <v>24</v>
      </c>
      <c r="U85" s="44"/>
    </row>
    <row r="86" spans="1:65" ht="14.25">
      <c r="A86" s="134" t="s">
        <v>390</v>
      </c>
      <c r="B86" s="30"/>
      <c r="C86" s="30"/>
      <c r="D86" s="30"/>
      <c r="E86" s="30"/>
      <c r="F86" s="30"/>
      <c r="G86" s="30"/>
      <c r="H86" s="30"/>
      <c r="I86" s="30"/>
      <c r="J86" s="30"/>
      <c r="K86" s="30"/>
      <c r="L86" s="30"/>
      <c r="M86" s="30"/>
      <c r="N86" s="30"/>
      <c r="O86" s="30"/>
      <c r="P86" s="30"/>
      <c r="Q86" s="30"/>
      <c r="R86" s="30"/>
      <c r="S86" s="30"/>
      <c r="T86" s="44">
        <f t="shared" si="1"/>
        <v>25</v>
      </c>
      <c r="U86" s="44"/>
    </row>
    <row r="87" spans="1:65" ht="14.25">
      <c r="A87" s="30"/>
      <c r="B87" s="30"/>
      <c r="C87" s="50" t="s">
        <v>110</v>
      </c>
      <c r="D87" s="52"/>
      <c r="E87" s="30"/>
      <c r="F87" s="30"/>
      <c r="G87" s="30"/>
      <c r="H87" s="30"/>
      <c r="I87" s="30"/>
      <c r="J87" s="30"/>
      <c r="K87" s="30"/>
      <c r="L87" s="30"/>
      <c r="M87" s="30"/>
      <c r="N87" s="30"/>
      <c r="O87" s="30"/>
      <c r="P87" s="30"/>
      <c r="Q87" s="30"/>
      <c r="R87" s="30"/>
      <c r="S87" s="30"/>
      <c r="T87" s="44">
        <f t="shared" si="1"/>
        <v>26</v>
      </c>
      <c r="U87" s="44"/>
      <c r="BM87"/>
    </row>
    <row r="88" spans="1:65" ht="14.25">
      <c r="A88" s="30"/>
      <c r="B88" s="36"/>
      <c r="C88" s="549" t="s">
        <v>111</v>
      </c>
      <c r="D88" s="550"/>
      <c r="E88" s="550"/>
      <c r="F88" s="550"/>
      <c r="G88" s="550"/>
      <c r="H88" s="549" t="s">
        <v>112</v>
      </c>
      <c r="I88" s="549"/>
      <c r="J88" s="549"/>
      <c r="K88" s="550" t="s">
        <v>113</v>
      </c>
      <c r="L88" s="550"/>
      <c r="M88" s="550"/>
      <c r="N88" s="426" t="s">
        <v>27</v>
      </c>
      <c r="O88" s="426"/>
      <c r="P88" s="426"/>
      <c r="Q88" s="426"/>
      <c r="R88" s="426"/>
      <c r="S88" s="38"/>
      <c r="T88" s="44">
        <f t="shared" si="1"/>
        <v>27</v>
      </c>
      <c r="U88" s="44"/>
      <c r="BM88"/>
    </row>
    <row r="89" spans="1:65" ht="14.25">
      <c r="A89" s="30"/>
      <c r="B89" s="36"/>
      <c r="C89" s="488" t="str">
        <f>D11</f>
        <v>屋根</v>
      </c>
      <c r="D89" s="488"/>
      <c r="E89" s="488"/>
      <c r="F89" s="554">
        <f>G11/10000</f>
        <v>0</v>
      </c>
      <c r="G89" s="554"/>
      <c r="H89" s="490">
        <f>J11</f>
        <v>0.9</v>
      </c>
      <c r="I89" s="491"/>
      <c r="J89" s="492"/>
      <c r="K89" s="866">
        <f>IF(L11="",0,L11/10000)</f>
        <v>0</v>
      </c>
      <c r="L89" s="866"/>
      <c r="M89" s="866"/>
      <c r="N89" s="547" t="str">
        <f>N11</f>
        <v>m2×0%</v>
      </c>
      <c r="O89" s="547"/>
      <c r="P89" s="547"/>
      <c r="Q89" s="547"/>
      <c r="R89" s="547"/>
      <c r="S89" s="61"/>
      <c r="T89" s="44">
        <f t="shared" si="1"/>
        <v>28</v>
      </c>
      <c r="U89" s="44"/>
      <c r="BM89"/>
    </row>
    <row r="90" spans="1:65" ht="14.25">
      <c r="A90" s="30"/>
      <c r="B90" s="36"/>
      <c r="C90" s="538" t="str">
        <f>D12</f>
        <v>間地</v>
      </c>
      <c r="D90" s="538"/>
      <c r="E90" s="538"/>
      <c r="F90" s="553">
        <f>G12/10000</f>
        <v>0</v>
      </c>
      <c r="G90" s="553"/>
      <c r="H90" s="540">
        <f>J12</f>
        <v>0.2</v>
      </c>
      <c r="I90" s="469"/>
      <c r="J90" s="541"/>
      <c r="K90" s="865">
        <f>IF(L12="",0,L12/10000)</f>
        <v>0</v>
      </c>
      <c r="L90" s="865"/>
      <c r="M90" s="865"/>
      <c r="N90" s="543" t="str">
        <f>N12</f>
        <v>m2×100%-m2</v>
      </c>
      <c r="O90" s="543"/>
      <c r="P90" s="543"/>
      <c r="Q90" s="543"/>
      <c r="R90" s="543"/>
      <c r="S90" s="61"/>
      <c r="T90" s="44">
        <f t="shared" si="1"/>
        <v>29</v>
      </c>
      <c r="U90" s="44"/>
    </row>
    <row r="91" spans="1:65" ht="14.25">
      <c r="A91" s="30"/>
      <c r="B91" s="36"/>
      <c r="C91" s="538" t="str">
        <f>D13</f>
        <v>その他の不透面</v>
      </c>
      <c r="D91" s="538"/>
      <c r="E91" s="538"/>
      <c r="F91" s="553">
        <f>G13/10000</f>
        <v>0</v>
      </c>
      <c r="G91" s="553"/>
      <c r="H91" s="540">
        <f>J13</f>
        <v>0.8</v>
      </c>
      <c r="I91" s="469"/>
      <c r="J91" s="541"/>
      <c r="K91" s="865">
        <f>IF(L13="",0,L13/10000)</f>
        <v>0</v>
      </c>
      <c r="L91" s="865"/>
      <c r="M91" s="865"/>
      <c r="N91" s="543" t="str">
        <f>N13</f>
        <v/>
      </c>
      <c r="O91" s="543"/>
      <c r="P91" s="543"/>
      <c r="Q91" s="543"/>
      <c r="R91" s="543"/>
      <c r="S91" s="61"/>
      <c r="T91" s="44">
        <f t="shared" si="1"/>
        <v>30</v>
      </c>
      <c r="U91" s="44"/>
    </row>
    <row r="92" spans="1:65" ht="14.25">
      <c r="A92" s="30"/>
      <c r="B92" s="30"/>
      <c r="C92" s="494" t="s">
        <v>30</v>
      </c>
      <c r="D92" s="495"/>
      <c r="E92" s="496"/>
      <c r="F92" s="552">
        <f>SUM(F89:F91)</f>
        <v>0</v>
      </c>
      <c r="G92" s="552"/>
      <c r="H92" s="53"/>
      <c r="I92" s="495"/>
      <c r="J92" s="496"/>
      <c r="K92" s="878">
        <f>SUM(K89:K91)</f>
        <v>0</v>
      </c>
      <c r="L92" s="878"/>
      <c r="M92" s="878"/>
      <c r="N92" s="546"/>
      <c r="O92" s="546"/>
      <c r="P92" s="546"/>
      <c r="Q92" s="546"/>
      <c r="R92" s="546"/>
      <c r="S92" s="38"/>
      <c r="T92" s="44">
        <f t="shared" si="1"/>
        <v>31</v>
      </c>
      <c r="U92" s="44"/>
    </row>
    <row r="93" spans="1:65" ht="14.25">
      <c r="A93" s="30"/>
      <c r="B93" s="30"/>
      <c r="C93" s="30"/>
      <c r="D93" s="30" t="str">
        <f>IF(J8="直接放流(別施設で抑制)","※駐車場"&amp;K7&amp;"m2は道路へ直接放流とする。（専用用地・道路計算に加算）","")</f>
        <v/>
      </c>
      <c r="E93" s="30"/>
      <c r="F93" s="48"/>
      <c r="G93" s="48"/>
      <c r="H93" s="48"/>
      <c r="I93" s="57"/>
      <c r="J93" s="57"/>
      <c r="K93" s="58"/>
      <c r="L93" s="48"/>
      <c r="M93" s="48"/>
      <c r="N93" s="59"/>
      <c r="O93" s="59"/>
      <c r="P93" s="59"/>
      <c r="Q93" s="62"/>
      <c r="R93" s="38"/>
      <c r="S93" s="38"/>
      <c r="T93" s="44">
        <f t="shared" si="1"/>
        <v>32</v>
      </c>
      <c r="U93" s="44"/>
    </row>
    <row r="94" spans="1:65" ht="14.25">
      <c r="A94" s="30"/>
      <c r="B94" s="31" t="s">
        <v>114</v>
      </c>
      <c r="C94" s="30"/>
      <c r="D94" s="30"/>
      <c r="E94" s="30"/>
      <c r="F94" s="48"/>
      <c r="G94" s="48"/>
      <c r="H94" s="48"/>
      <c r="I94" s="57"/>
      <c r="J94" s="57"/>
      <c r="K94" s="58"/>
      <c r="L94" s="48"/>
      <c r="M94" s="48"/>
      <c r="N94" s="59"/>
      <c r="O94" s="59"/>
      <c r="P94" s="59"/>
      <c r="Q94" s="62"/>
      <c r="R94" s="38"/>
      <c r="S94" s="38"/>
      <c r="T94" s="44">
        <f t="shared" si="1"/>
        <v>33</v>
      </c>
      <c r="U94" s="44"/>
    </row>
    <row r="95" spans="1:65" ht="14.25">
      <c r="A95" s="30"/>
      <c r="B95" s="30"/>
      <c r="C95" s="30"/>
      <c r="D95" s="30" t="s">
        <v>115</v>
      </c>
      <c r="E95" s="487">
        <f>$L$14/10000</f>
        <v>0</v>
      </c>
      <c r="F95" s="487"/>
      <c r="G95" s="487"/>
      <c r="H95" s="31" t="s">
        <v>116</v>
      </c>
      <c r="I95" s="548">
        <f>$G$14/10000</f>
        <v>0</v>
      </c>
      <c r="J95" s="548"/>
      <c r="K95" s="548"/>
      <c r="L95" s="31" t="s">
        <v>75</v>
      </c>
      <c r="M95" s="499" t="e">
        <f>E95/I95</f>
        <v>#DIV/0!</v>
      </c>
      <c r="N95" s="499"/>
      <c r="O95" s="60"/>
      <c r="P95" s="60"/>
      <c r="Q95" s="62"/>
      <c r="R95" s="38"/>
      <c r="S95" s="38"/>
      <c r="T95" s="44">
        <f t="shared" si="1"/>
        <v>34</v>
      </c>
      <c r="U95" s="44"/>
    </row>
    <row r="96" spans="1:65" ht="14.25">
      <c r="A96" s="30"/>
      <c r="B96" s="30"/>
      <c r="C96" s="30"/>
      <c r="D96" s="30"/>
      <c r="E96" s="31"/>
      <c r="F96" s="31"/>
      <c r="G96" s="31"/>
      <c r="H96" s="31"/>
      <c r="I96" s="31"/>
      <c r="J96" s="31"/>
      <c r="K96" s="31"/>
      <c r="L96" s="31" t="s">
        <v>94</v>
      </c>
      <c r="M96" s="537">
        <f>$K$9</f>
        <v>0</v>
      </c>
      <c r="N96" s="537"/>
      <c r="O96" s="43" t="s">
        <v>22</v>
      </c>
      <c r="P96" s="32"/>
      <c r="Q96" s="44"/>
      <c r="R96" s="38"/>
      <c r="S96" s="38"/>
      <c r="T96" s="44">
        <f t="shared" si="1"/>
        <v>35</v>
      </c>
      <c r="U96" s="44"/>
    </row>
    <row r="97" spans="1:21" ht="14.25">
      <c r="A97" s="30"/>
      <c r="B97" s="30"/>
      <c r="C97" s="30"/>
      <c r="D97" s="30"/>
      <c r="E97" s="30"/>
      <c r="F97" s="38"/>
      <c r="G97" s="38"/>
      <c r="H97" s="38"/>
      <c r="I97" s="38"/>
      <c r="J97" s="38"/>
      <c r="K97" s="38"/>
      <c r="L97" s="38"/>
      <c r="M97" s="38"/>
      <c r="N97" s="38"/>
      <c r="O97" s="38"/>
      <c r="P97" s="38"/>
      <c r="Q97" s="38"/>
      <c r="R97" s="38"/>
      <c r="S97" s="38"/>
      <c r="T97" s="44">
        <f t="shared" si="1"/>
        <v>36</v>
      </c>
      <c r="U97" s="44"/>
    </row>
    <row r="98" spans="1:21" ht="14.25">
      <c r="A98" s="134" t="s">
        <v>218</v>
      </c>
      <c r="B98" s="30"/>
      <c r="C98" s="30"/>
      <c r="D98" s="30"/>
      <c r="E98" s="30"/>
      <c r="F98" s="30"/>
      <c r="G98" s="30"/>
      <c r="H98" s="30"/>
      <c r="I98" s="30"/>
      <c r="J98" s="30"/>
      <c r="K98" s="30"/>
      <c r="L98" s="30"/>
      <c r="M98" s="30"/>
      <c r="N98" s="30"/>
      <c r="O98" s="30"/>
      <c r="P98" s="30"/>
      <c r="Q98" s="30"/>
      <c r="R98" s="30"/>
      <c r="S98" s="30"/>
      <c r="T98" s="44">
        <f t="shared" si="1"/>
        <v>37</v>
      </c>
      <c r="U98" s="44"/>
    </row>
    <row r="99" spans="1:21" ht="14.25">
      <c r="A99" s="30"/>
      <c r="B99" s="526" t="s">
        <v>373</v>
      </c>
      <c r="C99" s="526"/>
      <c r="D99" s="526"/>
      <c r="E99" s="526"/>
      <c r="F99" s="526"/>
      <c r="G99" s="526"/>
      <c r="H99" s="759" t="s">
        <v>137</v>
      </c>
      <c r="I99" s="759"/>
      <c r="J99" s="759"/>
      <c r="K99" s="759" t="s">
        <v>138</v>
      </c>
      <c r="L99" s="759"/>
      <c r="M99" s="759"/>
      <c r="N99" s="759" t="s">
        <v>139</v>
      </c>
      <c r="O99" s="759"/>
      <c r="P99" s="759"/>
      <c r="Q99" s="908" t="s">
        <v>483</v>
      </c>
      <c r="R99" s="909"/>
      <c r="S99" s="910"/>
      <c r="T99" s="44">
        <f t="shared" si="1"/>
        <v>38</v>
      </c>
      <c r="U99" s="44"/>
    </row>
    <row r="100" spans="1:21" ht="14.25">
      <c r="A100" s="44"/>
      <c r="B100" s="526"/>
      <c r="C100" s="526"/>
      <c r="D100" s="526"/>
      <c r="E100" s="526"/>
      <c r="F100" s="526"/>
      <c r="G100" s="526"/>
      <c r="H100" s="759"/>
      <c r="I100" s="759"/>
      <c r="J100" s="759"/>
      <c r="K100" s="759"/>
      <c r="L100" s="759"/>
      <c r="M100" s="759"/>
      <c r="N100" s="759"/>
      <c r="O100" s="759"/>
      <c r="P100" s="759"/>
      <c r="Q100" s="911"/>
      <c r="R100" s="912"/>
      <c r="S100" s="913"/>
      <c r="T100" s="44">
        <f t="shared" ref="T100:T103" si="2">T99+1</f>
        <v>39</v>
      </c>
      <c r="U100" s="44"/>
    </row>
    <row r="101" spans="1:21" ht="14.25">
      <c r="A101" s="44"/>
      <c r="B101" s="440" t="str">
        <f>D22</f>
        <v>矩形ます(側面・底面浸透)</v>
      </c>
      <c r="C101" s="440"/>
      <c r="D101" s="440"/>
      <c r="E101" s="440"/>
      <c r="F101" s="440"/>
      <c r="G101" s="440"/>
      <c r="H101" s="760">
        <f>I22</f>
        <v>0</v>
      </c>
      <c r="I101" s="760"/>
      <c r="J101" s="760"/>
      <c r="K101" s="760">
        <f>K22</f>
        <v>0</v>
      </c>
      <c r="L101" s="760"/>
      <c r="M101" s="760"/>
      <c r="N101" s="760">
        <f>M22</f>
        <v>0</v>
      </c>
      <c r="O101" s="760"/>
      <c r="P101" s="760"/>
      <c r="Q101" s="817">
        <f>O22</f>
        <v>1</v>
      </c>
      <c r="R101" s="818"/>
      <c r="S101" s="819"/>
      <c r="T101" s="44">
        <f t="shared" si="2"/>
        <v>40</v>
      </c>
      <c r="U101" s="44"/>
    </row>
    <row r="102" spans="1:21" ht="14.25" customHeight="1">
      <c r="A102" s="30"/>
      <c r="B102" s="30"/>
      <c r="C102" s="30"/>
      <c r="D102" s="30"/>
      <c r="E102" s="30"/>
      <c r="F102" s="48"/>
      <c r="G102" s="30"/>
      <c r="H102" s="30"/>
      <c r="I102" s="30"/>
      <c r="J102" s="30"/>
      <c r="K102" s="30"/>
      <c r="L102" s="30"/>
      <c r="M102" s="30"/>
      <c r="N102" s="30"/>
      <c r="O102" s="30"/>
      <c r="P102" s="30"/>
      <c r="Q102" s="30"/>
      <c r="R102" s="30"/>
      <c r="S102" s="30"/>
      <c r="T102" s="44">
        <f t="shared" si="2"/>
        <v>41</v>
      </c>
      <c r="U102" s="44"/>
    </row>
    <row r="103" spans="1:21" ht="14.25">
      <c r="A103" s="30"/>
      <c r="B103" s="38" t="s">
        <v>219</v>
      </c>
      <c r="C103" s="30"/>
      <c r="D103" s="30"/>
      <c r="E103" s="30"/>
      <c r="F103" s="48"/>
      <c r="G103" s="30"/>
      <c r="H103" s="30"/>
      <c r="I103" s="30"/>
      <c r="J103" s="30"/>
      <c r="K103" s="30"/>
      <c r="L103" s="30"/>
      <c r="M103" s="30"/>
      <c r="N103" s="30"/>
      <c r="O103" s="30"/>
      <c r="P103" s="30"/>
      <c r="Q103" s="30"/>
      <c r="R103" s="30"/>
      <c r="S103" s="30"/>
      <c r="T103" s="44">
        <f t="shared" si="2"/>
        <v>42</v>
      </c>
      <c r="U103" s="44"/>
    </row>
    <row r="104" spans="1:21" ht="14.25">
      <c r="A104" s="44"/>
      <c r="B104" s="813" t="s">
        <v>141</v>
      </c>
      <c r="C104" s="814"/>
      <c r="D104" s="815"/>
      <c r="E104" s="813" t="s">
        <v>46</v>
      </c>
      <c r="F104" s="814"/>
      <c r="G104" s="815"/>
      <c r="H104" s="813" t="s">
        <v>142</v>
      </c>
      <c r="I104" s="814"/>
      <c r="J104" s="815"/>
      <c r="K104" s="900" t="s">
        <v>143</v>
      </c>
      <c r="L104" s="900"/>
      <c r="M104" s="900" t="s">
        <v>143</v>
      </c>
      <c r="N104" s="900"/>
      <c r="O104" s="900" t="s">
        <v>144</v>
      </c>
      <c r="P104" s="900"/>
      <c r="Q104" s="914" t="s">
        <v>145</v>
      </c>
      <c r="R104" s="914"/>
      <c r="S104" s="914"/>
      <c r="T104" s="44">
        <f t="shared" ref="T104:T135" si="3">T103+1</f>
        <v>43</v>
      </c>
      <c r="U104" s="44"/>
    </row>
    <row r="105" spans="1:21" ht="14.25">
      <c r="A105" s="44"/>
      <c r="B105" s="808" t="s">
        <v>146</v>
      </c>
      <c r="C105" s="816"/>
      <c r="D105" s="809"/>
      <c r="E105" s="808" t="s">
        <v>147</v>
      </c>
      <c r="F105" s="816"/>
      <c r="G105" s="809"/>
      <c r="H105" s="808" t="s">
        <v>148</v>
      </c>
      <c r="I105" s="816"/>
      <c r="J105" s="809"/>
      <c r="K105" s="886" t="s">
        <v>472</v>
      </c>
      <c r="L105" s="886"/>
      <c r="M105" s="886" t="s">
        <v>473</v>
      </c>
      <c r="N105" s="886"/>
      <c r="O105" s="886" t="s">
        <v>149</v>
      </c>
      <c r="P105" s="886"/>
      <c r="Q105" s="887" t="s">
        <v>220</v>
      </c>
      <c r="R105" s="887"/>
      <c r="S105" s="887"/>
      <c r="T105" s="44">
        <f t="shared" si="3"/>
        <v>44</v>
      </c>
      <c r="U105" s="44"/>
    </row>
    <row r="106" spans="1:21" ht="14.25">
      <c r="A106" s="44"/>
      <c r="B106" s="799">
        <f>AL30</f>
        <v>0</v>
      </c>
      <c r="C106" s="800"/>
      <c r="D106" s="801"/>
      <c r="E106" s="799">
        <f>AN30</f>
        <v>0.02</v>
      </c>
      <c r="F106" s="800"/>
      <c r="G106" s="801"/>
      <c r="H106" s="799">
        <f>AP30</f>
        <v>0</v>
      </c>
      <c r="I106" s="800"/>
      <c r="J106" s="801"/>
      <c r="K106" s="893">
        <f>AR30</f>
        <v>0.9</v>
      </c>
      <c r="L106" s="893"/>
      <c r="M106" s="893">
        <f>AT30</f>
        <v>0.9</v>
      </c>
      <c r="N106" s="893"/>
      <c r="O106" s="760">
        <f>AV30</f>
        <v>0.8</v>
      </c>
      <c r="P106" s="760"/>
      <c r="Q106" s="883">
        <f>AX30</f>
        <v>0</v>
      </c>
      <c r="R106" s="883"/>
      <c r="S106" s="883"/>
      <c r="T106" s="44">
        <f t="shared" si="3"/>
        <v>45</v>
      </c>
      <c r="U106" s="44"/>
    </row>
    <row r="107" spans="1:21" ht="14.25" customHeight="1">
      <c r="A107" s="30"/>
      <c r="B107" s="30"/>
      <c r="C107" s="30"/>
      <c r="D107" s="30"/>
      <c r="E107" s="30"/>
      <c r="F107" s="30"/>
      <c r="G107" s="30"/>
      <c r="H107" s="30"/>
      <c r="I107" s="30"/>
      <c r="J107" s="30"/>
      <c r="K107" s="30"/>
      <c r="L107" s="30"/>
      <c r="M107" s="30"/>
      <c r="N107" s="30"/>
      <c r="O107" s="30"/>
      <c r="P107" s="30"/>
      <c r="Q107" s="30"/>
      <c r="R107" s="30"/>
      <c r="S107" s="30"/>
      <c r="T107" s="44">
        <f t="shared" si="3"/>
        <v>46</v>
      </c>
      <c r="U107" s="44"/>
    </row>
    <row r="108" spans="1:21" ht="14.25" customHeight="1">
      <c r="A108" s="30"/>
      <c r="B108" s="38"/>
      <c r="C108" s="35" t="s">
        <v>105</v>
      </c>
      <c r="D108" s="35" t="s">
        <v>75</v>
      </c>
      <c r="E108" s="35" t="s">
        <v>79</v>
      </c>
      <c r="F108" s="35" t="s">
        <v>130</v>
      </c>
      <c r="G108" s="35" t="s">
        <v>151</v>
      </c>
      <c r="H108" s="35"/>
      <c r="I108" s="35"/>
      <c r="J108" s="30"/>
      <c r="K108" s="30"/>
      <c r="L108" s="30"/>
      <c r="M108" s="30"/>
      <c r="N108" s="30"/>
      <c r="O108" s="30"/>
      <c r="P108" s="30"/>
      <c r="Q108" s="30"/>
      <c r="R108" s="30"/>
      <c r="S108" s="30"/>
      <c r="T108" s="44">
        <f t="shared" si="3"/>
        <v>47</v>
      </c>
      <c r="U108" s="44"/>
    </row>
    <row r="109" spans="1:21" ht="14.25" customHeight="1">
      <c r="A109" s="30"/>
      <c r="B109" s="38"/>
      <c r="C109" s="44" t="s">
        <v>100</v>
      </c>
      <c r="D109" s="46"/>
      <c r="E109" s="47" t="s">
        <v>105</v>
      </c>
      <c r="F109" s="48" t="s">
        <v>102</v>
      </c>
      <c r="G109" s="30" t="s">
        <v>152</v>
      </c>
      <c r="H109" s="30"/>
      <c r="I109" s="30"/>
      <c r="J109" s="30"/>
      <c r="K109" s="30"/>
      <c r="L109" s="30"/>
      <c r="M109" s="30"/>
      <c r="N109" s="30"/>
      <c r="O109" s="30"/>
      <c r="P109" s="30"/>
      <c r="Q109" s="30"/>
      <c r="R109" s="30"/>
      <c r="S109" s="30"/>
      <c r="T109" s="44">
        <f t="shared" si="3"/>
        <v>48</v>
      </c>
      <c r="U109" s="44"/>
    </row>
    <row r="110" spans="1:21" ht="14.25">
      <c r="A110" s="30"/>
      <c r="B110" s="38"/>
      <c r="C110" s="44"/>
      <c r="D110" s="46"/>
      <c r="E110" s="47" t="s">
        <v>79</v>
      </c>
      <c r="F110" s="48" t="s">
        <v>102</v>
      </c>
      <c r="G110" s="30" t="s">
        <v>511</v>
      </c>
      <c r="H110" s="30"/>
      <c r="I110" s="30"/>
      <c r="J110" s="30"/>
      <c r="K110" s="30"/>
      <c r="L110" s="30"/>
      <c r="M110" s="30"/>
      <c r="N110" s="30"/>
      <c r="O110" s="30"/>
      <c r="P110" s="30"/>
      <c r="Q110" s="30"/>
      <c r="R110" s="30"/>
      <c r="S110" s="30"/>
      <c r="T110" s="44">
        <f t="shared" si="3"/>
        <v>49</v>
      </c>
      <c r="U110" s="44"/>
    </row>
    <row r="111" spans="1:21" ht="14.25">
      <c r="A111" s="30"/>
      <c r="B111" s="38"/>
      <c r="C111" s="44"/>
      <c r="D111" s="46"/>
      <c r="E111" s="47" t="s">
        <v>153</v>
      </c>
      <c r="F111" s="48" t="s">
        <v>102</v>
      </c>
      <c r="G111" s="30" t="s">
        <v>154</v>
      </c>
      <c r="H111" s="30"/>
      <c r="I111" s="30"/>
      <c r="J111" s="30"/>
      <c r="K111" s="30"/>
      <c r="L111" s="30"/>
      <c r="M111" s="30"/>
      <c r="N111" s="30"/>
      <c r="O111" s="30"/>
      <c r="P111" s="30"/>
      <c r="Q111" s="30"/>
      <c r="R111" s="30"/>
      <c r="S111" s="30"/>
      <c r="T111" s="44">
        <f t="shared" si="3"/>
        <v>50</v>
      </c>
      <c r="U111" s="44"/>
    </row>
    <row r="112" spans="1:21" ht="14.25">
      <c r="A112" s="30"/>
      <c r="B112" s="30"/>
      <c r="C112" s="44"/>
      <c r="D112" s="46"/>
      <c r="E112" s="47" t="s">
        <v>155</v>
      </c>
      <c r="F112" s="48" t="s">
        <v>102</v>
      </c>
      <c r="G112" s="30" t="s">
        <v>156</v>
      </c>
      <c r="H112" s="30"/>
      <c r="I112" s="30"/>
      <c r="J112" s="30"/>
      <c r="K112" s="30"/>
      <c r="L112" s="30"/>
      <c r="M112" s="30"/>
      <c r="N112" s="30"/>
      <c r="O112" s="30"/>
      <c r="P112" s="30"/>
      <c r="Q112" s="30"/>
      <c r="R112" s="30"/>
      <c r="S112" s="30"/>
      <c r="T112" s="44">
        <f t="shared" si="3"/>
        <v>51</v>
      </c>
      <c r="U112" s="44"/>
    </row>
    <row r="113" spans="1:21" ht="14.25">
      <c r="A113" s="30"/>
      <c r="B113" s="30"/>
      <c r="C113" s="44"/>
      <c r="D113" s="46"/>
      <c r="E113" s="47"/>
      <c r="F113" s="48"/>
      <c r="G113" s="30" t="s">
        <v>157</v>
      </c>
      <c r="H113" s="30"/>
      <c r="I113" s="30"/>
      <c r="J113" s="30"/>
      <c r="K113" s="30"/>
      <c r="L113" s="30"/>
      <c r="M113" s="30"/>
      <c r="N113" s="30"/>
      <c r="O113" s="30"/>
      <c r="P113" s="30"/>
      <c r="Q113" s="30"/>
      <c r="R113" s="30"/>
      <c r="S113" s="30"/>
      <c r="T113" s="44">
        <f t="shared" si="3"/>
        <v>52</v>
      </c>
      <c r="U113" s="44"/>
    </row>
    <row r="114" spans="1:21" ht="14.25">
      <c r="A114" s="30"/>
      <c r="B114" s="30"/>
      <c r="C114" s="44"/>
      <c r="D114" s="46"/>
      <c r="E114" s="47"/>
      <c r="F114" s="48"/>
      <c r="G114" s="30" t="s">
        <v>158</v>
      </c>
      <c r="H114" s="30"/>
      <c r="I114" s="30"/>
      <c r="J114" s="30"/>
      <c r="K114" s="30"/>
      <c r="L114" s="30"/>
      <c r="M114" s="30"/>
      <c r="N114" s="30"/>
      <c r="O114" s="30"/>
      <c r="P114" s="30"/>
      <c r="Q114" s="30"/>
      <c r="R114" s="30"/>
      <c r="S114" s="30"/>
      <c r="T114" s="44">
        <f t="shared" si="3"/>
        <v>53</v>
      </c>
      <c r="U114" s="44"/>
    </row>
    <row r="115" spans="1:21" ht="14.25">
      <c r="A115" s="30"/>
      <c r="B115" s="30"/>
      <c r="C115" s="44"/>
      <c r="D115" s="46"/>
      <c r="E115" s="47" t="s">
        <v>149</v>
      </c>
      <c r="F115" s="48" t="s">
        <v>102</v>
      </c>
      <c r="G115" s="30" t="s">
        <v>461</v>
      </c>
      <c r="H115" s="30"/>
      <c r="I115" s="30"/>
      <c r="J115" s="30"/>
      <c r="K115" s="30"/>
      <c r="L115" s="30"/>
      <c r="M115" s="30"/>
      <c r="N115" s="30"/>
      <c r="O115" s="30"/>
      <c r="P115" s="30"/>
      <c r="Q115" s="30"/>
      <c r="R115" s="30"/>
      <c r="S115" s="30"/>
      <c r="T115" s="44">
        <f t="shared" si="3"/>
        <v>54</v>
      </c>
      <c r="U115" s="44"/>
    </row>
    <row r="116" spans="1:21" ht="14.25" customHeight="1">
      <c r="A116" s="30"/>
      <c r="B116" s="38"/>
      <c r="C116" s="44"/>
      <c r="D116" s="46"/>
      <c r="E116" s="47" t="s">
        <v>151</v>
      </c>
      <c r="F116" s="48" t="s">
        <v>102</v>
      </c>
      <c r="G116" s="30" t="s">
        <v>159</v>
      </c>
      <c r="H116" s="30"/>
      <c r="I116" s="30"/>
      <c r="J116" s="30"/>
      <c r="K116" s="30"/>
      <c r="L116" s="30"/>
      <c r="M116" s="30"/>
      <c r="N116" s="30"/>
      <c r="O116" s="30"/>
      <c r="P116" s="30"/>
      <c r="Q116" s="30"/>
      <c r="R116" s="30"/>
      <c r="S116" s="30"/>
      <c r="T116" s="44">
        <f t="shared" si="3"/>
        <v>55</v>
      </c>
      <c r="U116" s="44"/>
    </row>
    <row r="117" spans="1:21" ht="14.25" customHeight="1">
      <c r="A117" s="30"/>
      <c r="B117" s="38"/>
      <c r="C117" s="35" t="s">
        <v>151</v>
      </c>
      <c r="D117" s="35" t="s">
        <v>75</v>
      </c>
      <c r="E117" s="35" t="s">
        <v>160</v>
      </c>
      <c r="F117" s="35" t="s">
        <v>130</v>
      </c>
      <c r="G117" s="35" t="s">
        <v>161</v>
      </c>
      <c r="H117" s="30"/>
      <c r="I117" s="30"/>
      <c r="J117" s="30"/>
      <c r="K117" s="30"/>
      <c r="L117" s="30"/>
      <c r="M117" s="30"/>
      <c r="N117" s="30"/>
      <c r="O117" s="30"/>
      <c r="P117" s="30"/>
      <c r="Q117" s="30"/>
      <c r="R117" s="30"/>
      <c r="S117" s="30"/>
      <c r="T117" s="44">
        <v>1</v>
      </c>
      <c r="U117" s="44"/>
    </row>
    <row r="118" spans="1:21" ht="14.25">
      <c r="A118" s="30"/>
      <c r="B118" s="30"/>
      <c r="C118" s="30"/>
      <c r="D118" s="30"/>
      <c r="E118" s="50" t="s">
        <v>160</v>
      </c>
      <c r="F118" s="48" t="s">
        <v>102</v>
      </c>
      <c r="G118" s="30" t="s">
        <v>46</v>
      </c>
      <c r="H118" s="30"/>
      <c r="I118" s="30"/>
      <c r="J118" s="30"/>
      <c r="K118" s="30"/>
      <c r="L118" s="30"/>
      <c r="M118" s="30"/>
      <c r="N118" s="30"/>
      <c r="O118" s="30"/>
      <c r="P118" s="30"/>
      <c r="Q118" s="30"/>
      <c r="R118" s="30"/>
      <c r="S118" s="30"/>
      <c r="T118" s="44">
        <f t="shared" si="3"/>
        <v>2</v>
      </c>
      <c r="U118" s="44"/>
    </row>
    <row r="119" spans="1:21" ht="14.25">
      <c r="A119" s="30"/>
      <c r="B119" s="30"/>
      <c r="C119" s="30"/>
      <c r="D119" s="30"/>
      <c r="E119" s="50" t="s">
        <v>161</v>
      </c>
      <c r="F119" s="48" t="s">
        <v>102</v>
      </c>
      <c r="G119" s="30" t="s">
        <v>162</v>
      </c>
      <c r="H119" s="30"/>
      <c r="I119" s="30"/>
      <c r="J119" s="30"/>
      <c r="K119" s="30"/>
      <c r="L119" s="30"/>
      <c r="M119" s="30"/>
      <c r="N119" s="30"/>
      <c r="O119" s="30"/>
      <c r="P119" s="30"/>
      <c r="Q119" s="30"/>
      <c r="R119" s="30"/>
      <c r="S119" s="30"/>
      <c r="T119" s="44">
        <f t="shared" si="3"/>
        <v>3</v>
      </c>
      <c r="U119" s="44"/>
    </row>
    <row r="120" spans="1:21" ht="14.25">
      <c r="A120" s="30"/>
      <c r="B120" s="30"/>
      <c r="C120" s="30"/>
      <c r="D120" s="30"/>
      <c r="E120" s="48"/>
      <c r="F120" s="30"/>
      <c r="G120" s="30"/>
      <c r="H120" s="30"/>
      <c r="I120" s="30"/>
      <c r="J120" s="30"/>
      <c r="K120" s="30"/>
      <c r="L120" s="30"/>
      <c r="M120" s="30"/>
      <c r="N120" s="30"/>
      <c r="O120" s="30"/>
      <c r="P120" s="30"/>
      <c r="Q120" s="30"/>
      <c r="R120" s="30"/>
      <c r="S120" s="30"/>
      <c r="T120" s="44">
        <f t="shared" si="3"/>
        <v>4</v>
      </c>
      <c r="U120" s="44"/>
    </row>
    <row r="121" spans="1:21" ht="14.25">
      <c r="A121" s="30"/>
      <c r="B121" s="30"/>
      <c r="C121" s="30" t="s">
        <v>163</v>
      </c>
      <c r="D121" s="30"/>
      <c r="E121" s="48"/>
      <c r="F121" s="30"/>
      <c r="G121" s="30"/>
      <c r="H121" s="30"/>
      <c r="I121" s="30"/>
      <c r="J121" s="30"/>
      <c r="K121" s="30"/>
      <c r="L121" s="30"/>
      <c r="M121" s="30"/>
      <c r="N121" s="30"/>
      <c r="O121" s="30"/>
      <c r="P121" s="30"/>
      <c r="Q121" s="30"/>
      <c r="R121" s="30"/>
      <c r="S121" s="30"/>
      <c r="T121" s="44">
        <f t="shared" si="3"/>
        <v>5</v>
      </c>
      <c r="U121" s="44"/>
    </row>
    <row r="122" spans="1:21" ht="14.25">
      <c r="A122" s="30"/>
      <c r="B122" s="30"/>
      <c r="C122" s="759" t="s">
        <v>164</v>
      </c>
      <c r="D122" s="759"/>
      <c r="E122" s="759"/>
      <c r="F122" s="759"/>
      <c r="G122" s="888" t="s">
        <v>258</v>
      </c>
      <c r="H122" s="889"/>
      <c r="I122" s="889"/>
      <c r="J122" s="889"/>
      <c r="K122" s="889"/>
      <c r="L122" s="889"/>
      <c r="M122" s="889"/>
      <c r="N122" s="889"/>
      <c r="O122" s="889"/>
      <c r="P122" s="889"/>
      <c r="Q122" s="889"/>
      <c r="R122" s="890"/>
      <c r="S122" s="30"/>
      <c r="T122" s="44">
        <f t="shared" si="3"/>
        <v>6</v>
      </c>
      <c r="U122" s="44"/>
    </row>
    <row r="123" spans="1:21" ht="14.25">
      <c r="A123" s="30"/>
      <c r="B123" s="30"/>
      <c r="C123" s="759" t="s">
        <v>165</v>
      </c>
      <c r="D123" s="759"/>
      <c r="E123" s="759"/>
      <c r="F123" s="759"/>
      <c r="G123" s="888" t="s">
        <v>531</v>
      </c>
      <c r="H123" s="889"/>
      <c r="I123" s="889"/>
      <c r="J123" s="889"/>
      <c r="K123" s="889"/>
      <c r="L123" s="889"/>
      <c r="M123" s="889"/>
      <c r="N123" s="889"/>
      <c r="O123" s="889"/>
      <c r="P123" s="889"/>
      <c r="Q123" s="889"/>
      <c r="R123" s="890"/>
      <c r="S123" s="30"/>
      <c r="T123" s="44">
        <f t="shared" si="3"/>
        <v>7</v>
      </c>
      <c r="U123" s="44"/>
    </row>
    <row r="124" spans="1:21" ht="14.25">
      <c r="A124" s="30"/>
      <c r="B124" s="30"/>
      <c r="C124" s="527" t="s">
        <v>515</v>
      </c>
      <c r="D124" s="528"/>
      <c r="E124" s="528"/>
      <c r="F124" s="529"/>
      <c r="G124" s="307"/>
      <c r="H124" s="308"/>
      <c r="I124" s="308"/>
      <c r="J124" s="308"/>
      <c r="K124" s="308"/>
      <c r="L124" s="308"/>
      <c r="M124" s="308"/>
      <c r="N124" s="308"/>
      <c r="O124" s="308"/>
      <c r="P124" s="308"/>
      <c r="Q124" s="308"/>
      <c r="R124" s="309"/>
      <c r="S124" s="30"/>
      <c r="T124" s="44">
        <f t="shared" si="3"/>
        <v>8</v>
      </c>
      <c r="U124" s="44"/>
    </row>
    <row r="125" spans="1:21" ht="14.25">
      <c r="A125" s="30"/>
      <c r="B125" s="30"/>
      <c r="C125" s="881"/>
      <c r="D125" s="906"/>
      <c r="E125" s="906"/>
      <c r="F125" s="907"/>
      <c r="G125" s="312"/>
      <c r="H125" s="313"/>
      <c r="I125" s="313"/>
      <c r="J125" s="313"/>
      <c r="K125" s="313"/>
      <c r="L125" s="313"/>
      <c r="M125" s="313"/>
      <c r="N125" s="313"/>
      <c r="O125" s="313"/>
      <c r="P125" s="313"/>
      <c r="Q125" s="313"/>
      <c r="R125" s="314"/>
      <c r="S125" s="30"/>
      <c r="T125" s="44">
        <f t="shared" si="3"/>
        <v>9</v>
      </c>
      <c r="U125" s="44"/>
    </row>
    <row r="126" spans="1:21" ht="14.25">
      <c r="A126" s="30"/>
      <c r="B126" s="30"/>
      <c r="C126" s="881"/>
      <c r="D126" s="906"/>
      <c r="E126" s="906"/>
      <c r="F126" s="907"/>
      <c r="G126" s="312"/>
      <c r="H126" s="313"/>
      <c r="I126" s="313"/>
      <c r="J126" s="313"/>
      <c r="K126" s="313"/>
      <c r="L126" s="313"/>
      <c r="M126" s="313"/>
      <c r="N126" s="313"/>
      <c r="O126" s="313"/>
      <c r="P126" s="313"/>
      <c r="Q126" s="313"/>
      <c r="R126" s="314"/>
      <c r="S126" s="30"/>
      <c r="T126" s="44">
        <f t="shared" si="3"/>
        <v>10</v>
      </c>
      <c r="U126" s="44"/>
    </row>
    <row r="127" spans="1:21" ht="14.25">
      <c r="A127" s="30"/>
      <c r="B127" s="30"/>
      <c r="C127" s="530"/>
      <c r="D127" s="531"/>
      <c r="E127" s="531"/>
      <c r="F127" s="532"/>
      <c r="G127" s="315"/>
      <c r="H127" s="316"/>
      <c r="I127" s="316"/>
      <c r="J127" s="316"/>
      <c r="K127" s="316"/>
      <c r="L127" s="316"/>
      <c r="M127" s="316"/>
      <c r="N127" s="316"/>
      <c r="O127" s="316"/>
      <c r="P127" s="316"/>
      <c r="Q127" s="316"/>
      <c r="R127" s="317"/>
      <c r="S127" s="30"/>
      <c r="T127" s="44">
        <f t="shared" si="3"/>
        <v>11</v>
      </c>
      <c r="U127" s="44"/>
    </row>
    <row r="128" spans="1:21" ht="14.25">
      <c r="A128" s="30"/>
      <c r="B128" s="30"/>
      <c r="C128" s="884" t="s">
        <v>166</v>
      </c>
      <c r="D128" s="884"/>
      <c r="E128" s="901" t="s">
        <v>167</v>
      </c>
      <c r="F128" s="901"/>
      <c r="G128" s="888" t="s">
        <v>259</v>
      </c>
      <c r="H128" s="889"/>
      <c r="I128" s="889"/>
      <c r="J128" s="889"/>
      <c r="K128" s="889"/>
      <c r="L128" s="889"/>
      <c r="M128" s="889"/>
      <c r="N128" s="889"/>
      <c r="O128" s="889"/>
      <c r="P128" s="889"/>
      <c r="Q128" s="889"/>
      <c r="R128" s="890"/>
      <c r="S128" s="30"/>
      <c r="T128" s="44">
        <f t="shared" si="3"/>
        <v>12</v>
      </c>
      <c r="U128" s="44"/>
    </row>
    <row r="129" spans="1:21" ht="14.25">
      <c r="A129" s="30"/>
      <c r="B129" s="30"/>
      <c r="C129" s="885"/>
      <c r="D129" s="885"/>
      <c r="E129" s="902" t="s">
        <v>168</v>
      </c>
      <c r="F129" s="902"/>
      <c r="G129" s="888" t="s">
        <v>735</v>
      </c>
      <c r="H129" s="889"/>
      <c r="I129" s="889"/>
      <c r="J129" s="889"/>
      <c r="K129" s="889"/>
      <c r="L129" s="889"/>
      <c r="M129" s="889"/>
      <c r="N129" s="889"/>
      <c r="O129" s="889"/>
      <c r="P129" s="889"/>
      <c r="Q129" s="889"/>
      <c r="R129" s="890"/>
      <c r="S129" s="30"/>
      <c r="T129" s="44">
        <f t="shared" si="3"/>
        <v>13</v>
      </c>
      <c r="U129" s="44"/>
    </row>
    <row r="130" spans="1:21" ht="14.25">
      <c r="A130" s="30"/>
      <c r="B130" s="30"/>
      <c r="C130" s="759" t="s">
        <v>169</v>
      </c>
      <c r="D130" s="759"/>
      <c r="E130" s="759"/>
      <c r="F130" s="759"/>
      <c r="G130" s="894" t="s">
        <v>233</v>
      </c>
      <c r="H130" s="895"/>
      <c r="I130" s="895"/>
      <c r="J130" s="895"/>
      <c r="K130" s="895"/>
      <c r="L130" s="895"/>
      <c r="M130" s="895"/>
      <c r="N130" s="895"/>
      <c r="O130" s="895"/>
      <c r="P130" s="895"/>
      <c r="Q130" s="895"/>
      <c r="R130" s="896"/>
      <c r="S130" s="30"/>
      <c r="T130" s="44">
        <f t="shared" si="3"/>
        <v>14</v>
      </c>
      <c r="U130" s="44"/>
    </row>
    <row r="131" spans="1:21" ht="14.25">
      <c r="A131" s="30"/>
      <c r="B131" s="30"/>
      <c r="C131" s="759"/>
      <c r="D131" s="759"/>
      <c r="E131" s="759"/>
      <c r="F131" s="759"/>
      <c r="G131" s="903" t="s">
        <v>527</v>
      </c>
      <c r="H131" s="904"/>
      <c r="I131" s="904"/>
      <c r="J131" s="904"/>
      <c r="K131" s="904"/>
      <c r="L131" s="904"/>
      <c r="M131" s="904"/>
      <c r="N131" s="904"/>
      <c r="O131" s="904"/>
      <c r="P131" s="904"/>
      <c r="Q131" s="904"/>
      <c r="R131" s="905"/>
      <c r="S131" s="30"/>
      <c r="T131" s="44">
        <f t="shared" si="3"/>
        <v>15</v>
      </c>
      <c r="U131" s="44"/>
    </row>
    <row r="132" spans="1:21" ht="14.25">
      <c r="A132" s="30"/>
      <c r="B132" s="30"/>
      <c r="C132" s="891" t="s">
        <v>170</v>
      </c>
      <c r="D132" s="891"/>
      <c r="E132" s="759" t="s">
        <v>171</v>
      </c>
      <c r="F132" s="759"/>
      <c r="G132" s="894" t="s">
        <v>734</v>
      </c>
      <c r="H132" s="895"/>
      <c r="I132" s="895"/>
      <c r="J132" s="895"/>
      <c r="K132" s="895"/>
      <c r="L132" s="895"/>
      <c r="M132" s="895"/>
      <c r="N132" s="895"/>
      <c r="O132" s="895"/>
      <c r="P132" s="895"/>
      <c r="Q132" s="895"/>
      <c r="R132" s="896"/>
      <c r="S132" s="30"/>
      <c r="T132" s="44">
        <f t="shared" si="3"/>
        <v>16</v>
      </c>
      <c r="U132" s="44"/>
    </row>
    <row r="133" spans="1:21" ht="14.25">
      <c r="A133" s="30"/>
      <c r="B133" s="30"/>
      <c r="C133" s="759"/>
      <c r="D133" s="759"/>
      <c r="E133" s="881" t="s">
        <v>172</v>
      </c>
      <c r="F133" s="882"/>
      <c r="G133" s="894" t="s">
        <v>738</v>
      </c>
      <c r="H133" s="895"/>
      <c r="I133" s="895"/>
      <c r="J133" s="895"/>
      <c r="K133" s="895"/>
      <c r="L133" s="895"/>
      <c r="M133" s="895"/>
      <c r="N133" s="895"/>
      <c r="O133" s="895"/>
      <c r="P133" s="895"/>
      <c r="Q133" s="895"/>
      <c r="R133" s="896"/>
      <c r="S133" s="30"/>
      <c r="T133" s="44">
        <f t="shared" si="3"/>
        <v>17</v>
      </c>
      <c r="U133" s="44"/>
    </row>
    <row r="134" spans="1:21" ht="14.25">
      <c r="A134" s="30"/>
      <c r="B134" s="30"/>
      <c r="C134" s="892"/>
      <c r="D134" s="892"/>
      <c r="E134" s="892" t="s">
        <v>173</v>
      </c>
      <c r="F134" s="892"/>
      <c r="G134" s="897" t="s">
        <v>215</v>
      </c>
      <c r="H134" s="898"/>
      <c r="I134" s="898"/>
      <c r="J134" s="898"/>
      <c r="K134" s="898"/>
      <c r="L134" s="898"/>
      <c r="M134" s="898"/>
      <c r="N134" s="898"/>
      <c r="O134" s="898"/>
      <c r="P134" s="898"/>
      <c r="Q134" s="898"/>
      <c r="R134" s="899"/>
      <c r="S134" s="30"/>
      <c r="T134" s="44">
        <f t="shared" si="3"/>
        <v>18</v>
      </c>
      <c r="U134" s="44"/>
    </row>
    <row r="135" spans="1:21" ht="14.25">
      <c r="A135" s="30"/>
      <c r="B135" s="30"/>
      <c r="C135" s="759" t="s">
        <v>27</v>
      </c>
      <c r="D135" s="759"/>
      <c r="E135" s="759"/>
      <c r="F135" s="759"/>
      <c r="G135" s="888" t="s">
        <v>215</v>
      </c>
      <c r="H135" s="889"/>
      <c r="I135" s="889"/>
      <c r="J135" s="889"/>
      <c r="K135" s="889"/>
      <c r="L135" s="889"/>
      <c r="M135" s="889"/>
      <c r="N135" s="889"/>
      <c r="O135" s="889"/>
      <c r="P135" s="889"/>
      <c r="Q135" s="889"/>
      <c r="R135" s="890"/>
      <c r="S135" s="30"/>
      <c r="T135" s="44">
        <f t="shared" si="3"/>
        <v>19</v>
      </c>
      <c r="U135" s="44"/>
    </row>
    <row r="136" spans="1:21" ht="14.25">
      <c r="A136" s="30"/>
      <c r="B136" s="30"/>
      <c r="C136" s="30"/>
      <c r="D136" s="30"/>
      <c r="E136" s="30"/>
      <c r="F136" s="30"/>
      <c r="G136" s="30"/>
      <c r="H136" s="30"/>
      <c r="I136" s="30"/>
      <c r="J136" s="30"/>
      <c r="K136" s="30"/>
      <c r="L136" s="30"/>
      <c r="M136" s="30"/>
      <c r="N136" s="30"/>
      <c r="O136" s="30"/>
      <c r="P136" s="30"/>
      <c r="Q136" s="30"/>
      <c r="R136" s="30"/>
      <c r="S136" s="30"/>
      <c r="T136" s="44">
        <f t="shared" ref="T136:T148" si="4">T135+1</f>
        <v>20</v>
      </c>
      <c r="U136" s="44"/>
    </row>
    <row r="137" spans="1:21" ht="14.25">
      <c r="A137" s="30"/>
      <c r="B137" s="30" t="s">
        <v>174</v>
      </c>
      <c r="C137" s="30"/>
      <c r="D137" s="30"/>
      <c r="E137" s="30"/>
      <c r="F137" s="38"/>
      <c r="G137" s="38"/>
      <c r="H137" s="38"/>
      <c r="I137" s="38"/>
      <c r="J137" s="38"/>
      <c r="K137" s="38"/>
      <c r="L137" s="38"/>
      <c r="M137" s="38"/>
      <c r="N137" s="38"/>
      <c r="O137" s="38"/>
      <c r="P137" s="38"/>
      <c r="Q137" s="38"/>
      <c r="R137" s="38"/>
      <c r="S137" s="38"/>
      <c r="T137" s="44">
        <f t="shared" si="4"/>
        <v>21</v>
      </c>
      <c r="U137" s="44"/>
    </row>
    <row r="138" spans="1:21" ht="16.5">
      <c r="A138" s="30"/>
      <c r="B138" s="30"/>
      <c r="C138" s="30" t="s">
        <v>99</v>
      </c>
      <c r="D138" s="35" t="s">
        <v>75</v>
      </c>
      <c r="E138" s="459" t="s">
        <v>175</v>
      </c>
      <c r="F138" s="459"/>
      <c r="G138" s="48" t="s">
        <v>116</v>
      </c>
      <c r="H138" s="38" t="s">
        <v>176</v>
      </c>
      <c r="I138" s="38"/>
      <c r="J138" s="38"/>
      <c r="K138" s="44"/>
      <c r="L138" s="44"/>
      <c r="M138" s="38"/>
      <c r="N138" s="38"/>
      <c r="O138" s="38"/>
      <c r="P138" s="38"/>
      <c r="Q138" s="38"/>
      <c r="R138" s="38"/>
      <c r="S138" s="38"/>
      <c r="T138" s="44">
        <f t="shared" si="4"/>
        <v>22</v>
      </c>
      <c r="U138" s="44"/>
    </row>
    <row r="139" spans="1:21" ht="14.25">
      <c r="A139" s="30"/>
      <c r="B139" s="30"/>
      <c r="C139" s="30"/>
      <c r="D139" s="35" t="s">
        <v>75</v>
      </c>
      <c r="E139" s="459">
        <f>SUMPRODUCT(Q106:Q106,Q101:Q101)</f>
        <v>0</v>
      </c>
      <c r="F139" s="459"/>
      <c r="G139" s="48" t="s">
        <v>177</v>
      </c>
      <c r="H139" s="38">
        <v>10</v>
      </c>
      <c r="I139" s="48" t="s">
        <v>130</v>
      </c>
      <c r="J139" s="469">
        <f>M96</f>
        <v>0</v>
      </c>
      <c r="K139" s="830"/>
      <c r="L139" s="48" t="s">
        <v>130</v>
      </c>
      <c r="M139" s="536">
        <f>$G$14/10000</f>
        <v>0</v>
      </c>
      <c r="N139" s="536"/>
      <c r="O139" s="35" t="s">
        <v>178</v>
      </c>
      <c r="P139" s="536" t="e">
        <f>ROUNDDOWN(E139/(H139*J139*M139),2)</f>
        <v>#DIV/0!</v>
      </c>
      <c r="Q139" s="536"/>
      <c r="R139" s="38" t="s">
        <v>59</v>
      </c>
      <c r="S139" s="38"/>
      <c r="T139" s="44">
        <f t="shared" si="4"/>
        <v>23</v>
      </c>
      <c r="U139" s="44"/>
    </row>
    <row r="140" spans="1:21" ht="14.25">
      <c r="A140" s="30"/>
      <c r="B140" s="30"/>
      <c r="C140" s="30"/>
      <c r="D140" s="30"/>
      <c r="E140" s="30"/>
      <c r="F140" s="38"/>
      <c r="G140" s="38"/>
      <c r="H140" s="38"/>
      <c r="I140" s="38"/>
      <c r="J140" s="38"/>
      <c r="K140" s="38"/>
      <c r="L140" s="38"/>
      <c r="M140" s="38"/>
      <c r="N140" s="38"/>
      <c r="O140" s="38"/>
      <c r="P140" s="38"/>
      <c r="Q140" s="38"/>
      <c r="R140" s="38"/>
      <c r="S140" s="38"/>
      <c r="T140" s="44">
        <f t="shared" si="4"/>
        <v>24</v>
      </c>
      <c r="U140" s="44"/>
    </row>
    <row r="141" spans="1:21" ht="14.25">
      <c r="A141" s="134" t="s">
        <v>221</v>
      </c>
      <c r="B141" s="30"/>
      <c r="C141" s="30"/>
      <c r="D141" s="30"/>
      <c r="E141" s="30"/>
      <c r="F141" s="30"/>
      <c r="G141" s="30"/>
      <c r="H141" s="30"/>
      <c r="I141" s="30"/>
      <c r="J141" s="30"/>
      <c r="K141" s="30"/>
      <c r="L141" s="30"/>
      <c r="M141" s="30"/>
      <c r="N141" s="30"/>
      <c r="O141" s="30"/>
      <c r="P141" s="30"/>
      <c r="Q141" s="30"/>
      <c r="R141" s="30"/>
      <c r="S141" s="30"/>
      <c r="T141" s="44">
        <f t="shared" si="4"/>
        <v>25</v>
      </c>
      <c r="U141" s="44"/>
    </row>
    <row r="142" spans="1:21" ht="14.25">
      <c r="A142" s="30"/>
      <c r="B142" s="38" t="s">
        <v>477</v>
      </c>
      <c r="C142" s="38"/>
      <c r="D142" s="38"/>
      <c r="E142" s="38"/>
      <c r="F142" s="30"/>
      <c r="G142" s="30"/>
      <c r="H142" s="30"/>
      <c r="I142" s="30"/>
      <c r="J142" s="30"/>
      <c r="K142" s="30"/>
      <c r="L142" s="30"/>
      <c r="M142" s="30"/>
      <c r="N142" s="30"/>
      <c r="O142" s="30"/>
      <c r="P142" s="30"/>
      <c r="Q142" s="30"/>
      <c r="R142" s="30"/>
      <c r="S142" s="30"/>
      <c r="T142" s="44">
        <f t="shared" si="4"/>
        <v>26</v>
      </c>
      <c r="U142" s="44"/>
    </row>
    <row r="143" spans="1:21" ht="14.25">
      <c r="A143" s="30"/>
      <c r="B143" s="30"/>
      <c r="C143" s="30"/>
      <c r="D143" s="30"/>
      <c r="E143" s="30"/>
      <c r="F143" s="30"/>
      <c r="G143" s="30"/>
      <c r="H143" s="30"/>
      <c r="I143" s="30"/>
      <c r="J143" s="30"/>
      <c r="K143" s="30"/>
      <c r="L143" s="30"/>
      <c r="M143" s="30"/>
      <c r="N143" s="30"/>
      <c r="O143" s="30"/>
      <c r="P143" s="30"/>
      <c r="Q143" s="30"/>
      <c r="R143" s="30"/>
      <c r="S143" s="30"/>
      <c r="T143" s="44">
        <f t="shared" si="4"/>
        <v>27</v>
      </c>
      <c r="U143" s="44"/>
    </row>
    <row r="144" spans="1:21" ht="14.25">
      <c r="A144" s="30"/>
      <c r="B144" s="44"/>
      <c r="C144" s="356"/>
      <c r="D144" s="356"/>
      <c r="E144" s="30"/>
      <c r="F144" s="30"/>
      <c r="G144" s="327" t="s">
        <v>741</v>
      </c>
      <c r="H144" s="39" t="s">
        <v>181</v>
      </c>
      <c r="I144" s="470">
        <f>$AT$42</f>
        <v>1695</v>
      </c>
      <c r="J144" s="470"/>
      <c r="K144" s="30" t="s">
        <v>741</v>
      </c>
      <c r="L144" s="39" t="s">
        <v>182</v>
      </c>
      <c r="M144" s="470">
        <f>$AX$43</f>
        <v>10</v>
      </c>
      <c r="N144" s="470"/>
      <c r="O144" s="30" t="s">
        <v>741</v>
      </c>
      <c r="P144" s="36" t="s">
        <v>183</v>
      </c>
      <c r="Q144" s="438">
        <f>$AV$43</f>
        <v>0.75</v>
      </c>
      <c r="R144" s="438"/>
      <c r="S144" s="30"/>
      <c r="T144" s="44">
        <f t="shared" si="4"/>
        <v>28</v>
      </c>
      <c r="U144" s="44"/>
    </row>
    <row r="145" spans="1:21" ht="14.25">
      <c r="A145" s="30"/>
      <c r="B145" s="65"/>
      <c r="C145" s="356"/>
      <c r="D145" s="356"/>
      <c r="E145" s="69"/>
      <c r="F145" s="355"/>
      <c r="G145" s="327"/>
      <c r="H145" s="327"/>
      <c r="I145" s="327"/>
      <c r="J145" s="327"/>
      <c r="K145" s="327"/>
      <c r="L145" s="327"/>
      <c r="M145" s="327"/>
      <c r="N145" s="327"/>
      <c r="O145" s="327"/>
      <c r="P145" s="327"/>
      <c r="Q145" s="327"/>
      <c r="R145" s="30"/>
      <c r="S145" s="30"/>
      <c r="T145" s="44">
        <f t="shared" si="4"/>
        <v>29</v>
      </c>
      <c r="U145" s="44"/>
    </row>
    <row r="146" spans="1:21" ht="14.25">
      <c r="A146" s="30"/>
      <c r="B146" s="38" t="s">
        <v>184</v>
      </c>
      <c r="C146" s="38"/>
      <c r="D146" s="38"/>
      <c r="E146" s="38"/>
      <c r="F146" s="30"/>
      <c r="G146" s="30"/>
      <c r="H146" s="30"/>
      <c r="I146" s="30"/>
      <c r="J146" s="30"/>
      <c r="K146" s="30"/>
      <c r="L146" s="30"/>
      <c r="M146" s="30"/>
      <c r="N146" s="30"/>
      <c r="O146" s="30"/>
      <c r="P146" s="30"/>
      <c r="Q146" s="30"/>
      <c r="R146" s="30"/>
      <c r="S146" s="30"/>
      <c r="T146" s="44">
        <f t="shared" si="4"/>
        <v>30</v>
      </c>
      <c r="U146" s="44"/>
    </row>
    <row r="147" spans="1:21" ht="14.25">
      <c r="A147" s="30"/>
      <c r="B147" s="38"/>
      <c r="C147" s="38"/>
      <c r="D147" s="38"/>
      <c r="E147" s="38"/>
      <c r="F147" s="30"/>
      <c r="G147" s="30"/>
      <c r="H147" s="30"/>
      <c r="I147" s="30"/>
      <c r="J147" s="30"/>
      <c r="K147" s="30"/>
      <c r="L147" s="30"/>
      <c r="M147" s="30"/>
      <c r="N147" s="30"/>
      <c r="O147" s="30"/>
      <c r="P147" s="30"/>
      <c r="Q147" s="30"/>
      <c r="R147" s="30"/>
      <c r="S147" s="30"/>
      <c r="T147" s="44">
        <f t="shared" si="4"/>
        <v>31</v>
      </c>
      <c r="U147" s="44"/>
    </row>
    <row r="148" spans="1:21" ht="14.25">
      <c r="A148" s="30"/>
      <c r="B148" s="51"/>
      <c r="C148" s="30"/>
      <c r="D148" s="356"/>
      <c r="E148" s="366"/>
      <c r="F148" s="30"/>
      <c r="G148" s="30"/>
      <c r="H148" s="30"/>
      <c r="I148" s="30"/>
      <c r="J148" s="356"/>
      <c r="K148" s="349"/>
      <c r="L148" s="356"/>
      <c r="M148" s="356"/>
      <c r="N148" s="356"/>
      <c r="O148" s="356"/>
      <c r="P148" s="356"/>
      <c r="Q148" s="356"/>
      <c r="R148" s="349"/>
      <c r="S148" s="31"/>
      <c r="T148" s="44">
        <f t="shared" si="4"/>
        <v>32</v>
      </c>
      <c r="U148" s="44"/>
    </row>
    <row r="149" spans="1:21" ht="14.25">
      <c r="A149" s="30"/>
      <c r="B149" s="51"/>
      <c r="C149" s="30"/>
      <c r="D149" s="356"/>
      <c r="E149" s="356"/>
      <c r="F149" s="69"/>
      <c r="G149" s="355"/>
      <c r="H149" s="69"/>
      <c r="I149" s="69"/>
      <c r="J149" s="356"/>
      <c r="K149" s="353"/>
      <c r="L149" s="356"/>
      <c r="M149" s="356"/>
      <c r="N149" s="356"/>
      <c r="O149" s="356"/>
      <c r="P149" s="356"/>
      <c r="Q149" s="356"/>
      <c r="R149" s="349"/>
      <c r="S149" s="31"/>
      <c r="T149" s="44">
        <f t="shared" ref="T149:T167" si="5">T148+1</f>
        <v>33</v>
      </c>
      <c r="U149" s="44"/>
    </row>
    <row r="150" spans="1:21" ht="14.25">
      <c r="A150" s="30"/>
      <c r="B150" s="30"/>
      <c r="C150" s="30"/>
      <c r="D150" s="30"/>
      <c r="E150" s="30"/>
      <c r="F150" s="354"/>
      <c r="G150" s="354"/>
      <c r="H150" s="354"/>
      <c r="I150" s="30"/>
      <c r="J150" s="30"/>
      <c r="K150" s="30"/>
      <c r="L150" s="30"/>
      <c r="M150" s="30"/>
      <c r="N150" s="30"/>
      <c r="O150" s="30"/>
      <c r="P150" s="30"/>
      <c r="Q150" s="30"/>
      <c r="R150" s="30"/>
      <c r="S150" s="30"/>
      <c r="T150" s="44">
        <f t="shared" si="5"/>
        <v>34</v>
      </c>
      <c r="U150" s="44"/>
    </row>
    <row r="151" spans="1:21" ht="14.25">
      <c r="A151" s="30"/>
      <c r="B151" s="30"/>
      <c r="C151" s="30"/>
      <c r="D151" s="356"/>
      <c r="E151" s="366"/>
      <c r="F151" s="30"/>
      <c r="G151" s="30"/>
      <c r="H151" s="30"/>
      <c r="I151" s="30"/>
      <c r="J151" s="356"/>
      <c r="K151" s="349"/>
      <c r="L151" s="356"/>
      <c r="M151" s="356"/>
      <c r="N151" s="351"/>
      <c r="O151" s="351"/>
      <c r="P151" s="356"/>
      <c r="Q151" s="31"/>
      <c r="R151" s="30"/>
      <c r="S151" s="30"/>
      <c r="T151" s="44">
        <f t="shared" si="5"/>
        <v>35</v>
      </c>
      <c r="U151" s="44"/>
    </row>
    <row r="152" spans="1:21" ht="14.25">
      <c r="A152" s="44"/>
      <c r="B152" s="41" t="s">
        <v>186</v>
      </c>
      <c r="C152" s="44"/>
      <c r="D152" s="68"/>
      <c r="E152" s="68"/>
      <c r="F152" s="68"/>
      <c r="G152" s="67"/>
      <c r="H152" s="67"/>
      <c r="I152" s="41"/>
      <c r="J152" s="41"/>
      <c r="K152" s="41"/>
      <c r="L152" s="41"/>
      <c r="M152" s="30"/>
      <c r="N152" s="30"/>
      <c r="O152" s="30"/>
      <c r="P152" s="30"/>
      <c r="Q152" s="30"/>
      <c r="R152" s="30"/>
      <c r="S152" s="52"/>
      <c r="T152" s="44">
        <f t="shared" si="5"/>
        <v>36</v>
      </c>
      <c r="U152" s="44"/>
    </row>
    <row r="153" spans="1:21" ht="14.25">
      <c r="A153" s="30"/>
      <c r="B153" s="68"/>
      <c r="C153" s="68"/>
      <c r="D153" s="68"/>
      <c r="E153" s="68"/>
      <c r="F153" s="67"/>
      <c r="G153" s="67"/>
      <c r="H153" s="41"/>
      <c r="I153" s="41"/>
      <c r="J153" s="41"/>
      <c r="K153" s="41"/>
      <c r="L153" s="30"/>
      <c r="M153" s="30"/>
      <c r="N153" s="30"/>
      <c r="O153" s="30"/>
      <c r="P153" s="30"/>
      <c r="Q153" s="30"/>
      <c r="R153" s="52"/>
      <c r="S153" s="52"/>
      <c r="T153" s="44">
        <f t="shared" si="5"/>
        <v>37</v>
      </c>
      <c r="U153" s="44"/>
    </row>
    <row r="154" spans="1:21" ht="14.25">
      <c r="A154" s="44"/>
      <c r="B154" s="44"/>
      <c r="C154" s="501"/>
      <c r="D154" s="31"/>
      <c r="E154" s="31"/>
      <c r="F154" s="31"/>
      <c r="G154" s="30"/>
      <c r="H154" s="30"/>
      <c r="I154" s="30"/>
      <c r="J154" s="30"/>
      <c r="K154" s="30"/>
      <c r="L154" s="30"/>
      <c r="M154" s="30"/>
      <c r="N154" s="351"/>
      <c r="O154" s="349"/>
      <c r="P154" s="351"/>
      <c r="Q154" s="356"/>
      <c r="R154" s="31"/>
      <c r="S154" s="367"/>
      <c r="T154" s="44">
        <f t="shared" si="5"/>
        <v>38</v>
      </c>
      <c r="U154" s="44"/>
    </row>
    <row r="155" spans="1:21" ht="14.25">
      <c r="A155" s="44"/>
      <c r="B155" s="44"/>
      <c r="C155" s="523"/>
      <c r="D155" s="31"/>
      <c r="E155" s="31"/>
      <c r="F155" s="31"/>
      <c r="G155" s="69"/>
      <c r="H155" s="69"/>
      <c r="I155" s="69"/>
      <c r="J155" s="69"/>
      <c r="K155" s="69"/>
      <c r="L155" s="69"/>
      <c r="M155" s="69"/>
      <c r="N155" s="351"/>
      <c r="O155" s="353"/>
      <c r="P155" s="351"/>
      <c r="Q155" s="356"/>
      <c r="R155" s="31"/>
      <c r="S155" s="31"/>
      <c r="T155" s="44">
        <f t="shared" si="5"/>
        <v>39</v>
      </c>
      <c r="U155" s="44"/>
    </row>
    <row r="156" spans="1:21" ht="15.75">
      <c r="A156" s="30"/>
      <c r="B156" s="30" t="s">
        <v>187</v>
      </c>
      <c r="C156" s="30"/>
      <c r="D156" s="30"/>
      <c r="E156" s="30"/>
      <c r="F156" s="44"/>
      <c r="G156" s="30"/>
      <c r="H156" s="30"/>
      <c r="I156" s="30"/>
      <c r="J156" s="30"/>
      <c r="K156" s="30"/>
      <c r="L156" s="73"/>
      <c r="M156" s="73"/>
      <c r="N156" s="30"/>
      <c r="O156" s="30"/>
      <c r="P156" s="30"/>
      <c r="Q156" s="30"/>
      <c r="R156" s="30"/>
      <c r="S156" s="30"/>
      <c r="T156" s="44">
        <f t="shared" si="5"/>
        <v>40</v>
      </c>
      <c r="U156" s="44"/>
    </row>
    <row r="157" spans="1:21" ht="14.25">
      <c r="A157" s="30"/>
      <c r="B157" s="30"/>
      <c r="C157" s="30"/>
      <c r="D157" s="30"/>
      <c r="E157" s="30"/>
      <c r="F157" s="30"/>
      <c r="G157" s="30"/>
      <c r="H157" s="30"/>
      <c r="I157" s="30"/>
      <c r="J157" s="30"/>
      <c r="K157" s="30"/>
      <c r="L157" s="73"/>
      <c r="M157" s="73"/>
      <c r="N157" s="30"/>
      <c r="O157" s="30"/>
      <c r="P157" s="30"/>
      <c r="Q157" s="30"/>
      <c r="R157" s="30"/>
      <c r="S157" s="30"/>
      <c r="T157" s="44">
        <f t="shared" si="5"/>
        <v>41</v>
      </c>
      <c r="U157" s="44"/>
    </row>
    <row r="158" spans="1:21" ht="14.25">
      <c r="A158" s="30"/>
      <c r="B158" s="30"/>
      <c r="C158" s="30"/>
      <c r="D158" s="30"/>
      <c r="E158" s="30"/>
      <c r="F158" s="67"/>
      <c r="G158" s="67"/>
      <c r="H158" s="30"/>
      <c r="I158" s="30"/>
      <c r="J158" s="30"/>
      <c r="K158" s="30"/>
      <c r="L158" s="72"/>
      <c r="M158" s="72"/>
      <c r="N158" s="30"/>
      <c r="O158" s="30"/>
      <c r="P158" s="30"/>
      <c r="Q158" s="30"/>
      <c r="R158" s="30"/>
      <c r="S158" s="30"/>
      <c r="T158" s="44">
        <f t="shared" si="5"/>
        <v>42</v>
      </c>
      <c r="U158" s="44"/>
    </row>
    <row r="159" spans="1:21" ht="14.25">
      <c r="A159" s="30"/>
      <c r="B159" s="30"/>
      <c r="C159" s="30"/>
      <c r="D159" s="30"/>
      <c r="E159" s="30"/>
      <c r="F159" s="67"/>
      <c r="G159" s="67"/>
      <c r="H159" s="30"/>
      <c r="I159" s="30"/>
      <c r="J159" s="30"/>
      <c r="K159" s="30"/>
      <c r="L159" s="72"/>
      <c r="M159" s="72"/>
      <c r="N159" s="30"/>
      <c r="O159" s="30"/>
      <c r="P159" s="30"/>
      <c r="Q159" s="30"/>
      <c r="R159" s="30"/>
      <c r="S159" s="30"/>
      <c r="T159" s="44">
        <f t="shared" si="5"/>
        <v>43</v>
      </c>
      <c r="U159" s="44"/>
    </row>
    <row r="160" spans="1:21" ht="15.75">
      <c r="A160" s="30"/>
      <c r="B160" s="30" t="s">
        <v>188</v>
      </c>
      <c r="C160" s="30"/>
      <c r="D160" s="30"/>
      <c r="E160" s="30"/>
      <c r="F160" s="30"/>
      <c r="G160" s="30"/>
      <c r="H160" s="30"/>
      <c r="I160" s="30"/>
      <c r="J160" s="30"/>
      <c r="K160" s="30"/>
      <c r="L160" s="73"/>
      <c r="M160" s="73"/>
      <c r="N160" s="30"/>
      <c r="O160" s="30"/>
      <c r="P160" s="30"/>
      <c r="Q160" s="30"/>
      <c r="R160" s="30"/>
      <c r="S160" s="30"/>
      <c r="T160" s="44">
        <f t="shared" si="5"/>
        <v>44</v>
      </c>
      <c r="U160" s="44"/>
    </row>
    <row r="161" spans="1:21" ht="14.25">
      <c r="A161" s="30"/>
      <c r="B161" s="30"/>
      <c r="C161" s="30"/>
      <c r="D161" s="30"/>
      <c r="E161" s="30"/>
      <c r="F161" s="30"/>
      <c r="G161" s="30"/>
      <c r="H161" s="30"/>
      <c r="I161" s="30"/>
      <c r="J161" s="30"/>
      <c r="K161" s="30"/>
      <c r="L161" s="73"/>
      <c r="M161" s="73"/>
      <c r="N161" s="30"/>
      <c r="O161" s="30"/>
      <c r="P161" s="30"/>
      <c r="Q161" s="30"/>
      <c r="R161" s="30"/>
      <c r="S161" s="30"/>
      <c r="T161" s="44">
        <f t="shared" si="5"/>
        <v>45</v>
      </c>
      <c r="U161" s="44"/>
    </row>
    <row r="162" spans="1:21" ht="14.25">
      <c r="A162" s="30"/>
      <c r="B162" s="30"/>
      <c r="C162" s="30"/>
      <c r="D162" s="31"/>
      <c r="E162" s="31"/>
      <c r="F162" s="30"/>
      <c r="G162" s="30"/>
      <c r="H162" s="30"/>
      <c r="I162" s="30"/>
      <c r="J162" s="30"/>
      <c r="K162" s="30"/>
      <c r="L162" s="352"/>
      <c r="M162" s="351"/>
      <c r="N162" s="31"/>
      <c r="O162" s="31"/>
      <c r="P162" s="30"/>
      <c r="Q162" s="30"/>
      <c r="R162" s="30"/>
      <c r="S162" s="30"/>
      <c r="T162" s="44">
        <f t="shared" si="5"/>
        <v>46</v>
      </c>
      <c r="U162" s="44"/>
    </row>
    <row r="163" spans="1:21" ht="14.25">
      <c r="A163" s="30"/>
      <c r="B163" s="44"/>
      <c r="C163" s="74"/>
      <c r="D163" s="31"/>
      <c r="E163" s="31"/>
      <c r="F163" s="69"/>
      <c r="G163" s="69"/>
      <c r="H163" s="69"/>
      <c r="I163" s="69"/>
      <c r="J163" s="69"/>
      <c r="K163" s="69"/>
      <c r="L163" s="352"/>
      <c r="M163" s="351"/>
      <c r="N163" s="31"/>
      <c r="O163" s="31"/>
      <c r="P163" s="44"/>
      <c r="Q163" s="30"/>
      <c r="R163" s="44"/>
      <c r="S163" s="74"/>
      <c r="T163" s="44">
        <f t="shared" si="5"/>
        <v>47</v>
      </c>
      <c r="U163" s="44"/>
    </row>
    <row r="164" spans="1:21" ht="14.25">
      <c r="A164" s="30"/>
      <c r="B164" s="30"/>
      <c r="C164" s="30"/>
      <c r="D164" s="30"/>
      <c r="E164" s="30"/>
      <c r="F164" s="30"/>
      <c r="G164" s="30"/>
      <c r="H164" s="75"/>
      <c r="I164" s="75"/>
      <c r="J164" s="75"/>
      <c r="K164" s="75"/>
      <c r="L164" s="30"/>
      <c r="M164" s="30"/>
      <c r="N164" s="30"/>
      <c r="O164" s="30"/>
      <c r="P164" s="30"/>
      <c r="Q164" s="30"/>
      <c r="R164" s="30"/>
      <c r="S164" s="30"/>
      <c r="T164" s="44">
        <f t="shared" si="5"/>
        <v>48</v>
      </c>
      <c r="U164" s="44"/>
    </row>
    <row r="165" spans="1:21" ht="14.25">
      <c r="A165" s="30"/>
      <c r="B165" s="44"/>
      <c r="C165" s="39"/>
      <c r="D165" s="39"/>
      <c r="E165" s="39" t="s">
        <v>222</v>
      </c>
      <c r="F165" s="439" t="s">
        <v>362</v>
      </c>
      <c r="G165" s="438"/>
      <c r="H165" s="47" t="s">
        <v>189</v>
      </c>
      <c r="I165" s="48"/>
      <c r="J165" s="39" t="s">
        <v>99</v>
      </c>
      <c r="K165" s="48" t="s">
        <v>75</v>
      </c>
      <c r="L165" s="438" t="e">
        <f>$P$139</f>
        <v>#DIV/0!</v>
      </c>
      <c r="M165" s="438"/>
      <c r="N165" s="47" t="s">
        <v>190</v>
      </c>
      <c r="O165" s="30"/>
      <c r="P165" s="30"/>
      <c r="Q165" s="30"/>
      <c r="R165" s="30"/>
      <c r="S165" s="30"/>
      <c r="T165" s="44">
        <f t="shared" si="5"/>
        <v>49</v>
      </c>
      <c r="U165" s="44"/>
    </row>
    <row r="166" spans="1:21" ht="14.25">
      <c r="A166" s="30"/>
      <c r="B166" s="39"/>
      <c r="C166" s="39"/>
      <c r="D166" s="48" t="s">
        <v>77</v>
      </c>
      <c r="E166" s="48" t="s">
        <v>75</v>
      </c>
      <c r="F166" s="438" t="e">
        <f>AO34</f>
        <v>#VALUE!</v>
      </c>
      <c r="G166" s="438"/>
      <c r="H166" s="38" t="s">
        <v>729</v>
      </c>
      <c r="I166" s="48" t="s">
        <v>191</v>
      </c>
      <c r="J166" s="48" t="s">
        <v>75</v>
      </c>
      <c r="K166" s="438" t="e">
        <f>-AU34</f>
        <v>#VALUE!</v>
      </c>
      <c r="L166" s="438"/>
      <c r="M166" s="38" t="s">
        <v>729</v>
      </c>
      <c r="N166" s="48" t="s">
        <v>79</v>
      </c>
      <c r="O166" s="48" t="s">
        <v>75</v>
      </c>
      <c r="P166" s="470" t="e">
        <f>AY34</f>
        <v>#VALUE!</v>
      </c>
      <c r="Q166" s="470"/>
      <c r="R166" s="470"/>
      <c r="S166" s="30"/>
      <c r="T166" s="44">
        <f t="shared" si="5"/>
        <v>50</v>
      </c>
      <c r="U166" s="44"/>
    </row>
    <row r="167" spans="1:21" ht="14.25">
      <c r="A167" s="30"/>
      <c r="B167" s="39"/>
      <c r="C167" s="39"/>
      <c r="D167" s="39"/>
      <c r="E167" s="39"/>
      <c r="F167" s="42"/>
      <c r="G167" s="42"/>
      <c r="H167" s="38"/>
      <c r="I167" s="38"/>
      <c r="J167" s="38"/>
      <c r="K167" s="38"/>
      <c r="L167" s="38"/>
      <c r="M167" s="38"/>
      <c r="N167" s="30"/>
      <c r="O167" s="30"/>
      <c r="P167" s="30"/>
      <c r="Q167" s="30"/>
      <c r="R167" s="30"/>
      <c r="S167" s="30"/>
      <c r="T167" s="44">
        <f t="shared" si="5"/>
        <v>51</v>
      </c>
      <c r="U167" s="44"/>
    </row>
    <row r="168" spans="1:21" ht="14.25">
      <c r="A168" s="30"/>
      <c r="B168" s="429" t="s">
        <v>192</v>
      </c>
      <c r="C168" s="429" t="s">
        <v>75</v>
      </c>
      <c r="D168" s="429" t="s">
        <v>193</v>
      </c>
      <c r="E168" s="480" t="e">
        <f>-K166</f>
        <v>#VALUE!</v>
      </c>
      <c r="F168" s="480"/>
      <c r="G168" s="76" t="s">
        <v>135</v>
      </c>
      <c r="H168" s="480" t="e">
        <f>-K166</f>
        <v>#VALUE!</v>
      </c>
      <c r="I168" s="480"/>
      <c r="J168" s="87">
        <v>2</v>
      </c>
      <c r="K168" s="509" t="e">
        <f>"－４×"&amp;F166</f>
        <v>#VALUE!</v>
      </c>
      <c r="L168" s="509"/>
      <c r="M168" s="509"/>
      <c r="N168" s="88" t="s">
        <v>130</v>
      </c>
      <c r="O168" s="509" t="e">
        <f>P166</f>
        <v>#VALUE!</v>
      </c>
      <c r="P168" s="509"/>
      <c r="Q168" s="509"/>
      <c r="R168" s="510" t="s">
        <v>131</v>
      </c>
      <c r="S168" s="94">
        <f>1/$AV$43</f>
        <v>1.3333333333333333</v>
      </c>
      <c r="T168" s="44">
        <f t="shared" ref="T168:T194" si="6">T167+1</f>
        <v>52</v>
      </c>
      <c r="U168" s="44"/>
    </row>
    <row r="169" spans="1:21" ht="14.25">
      <c r="A169" s="30"/>
      <c r="B169" s="429"/>
      <c r="C169" s="429"/>
      <c r="D169" s="429"/>
      <c r="E169" s="512" t="e">
        <f>2*F166</f>
        <v>#VALUE!</v>
      </c>
      <c r="F169" s="512"/>
      <c r="G169" s="512"/>
      <c r="H169" s="512"/>
      <c r="I169" s="512"/>
      <c r="J169" s="512"/>
      <c r="K169" s="512"/>
      <c r="L169" s="512"/>
      <c r="M169" s="512"/>
      <c r="N169" s="512"/>
      <c r="O169" s="512"/>
      <c r="P169" s="512"/>
      <c r="Q169" s="512"/>
      <c r="R169" s="511"/>
      <c r="S169" s="77"/>
      <c r="T169" s="44">
        <f t="shared" si="6"/>
        <v>53</v>
      </c>
      <c r="U169" s="44"/>
    </row>
    <row r="170" spans="1:21" ht="14.25">
      <c r="A170" s="30"/>
      <c r="B170" s="44"/>
      <c r="C170" s="29" t="s">
        <v>75</v>
      </c>
      <c r="D170" s="429" t="e">
        <f>ROUND(((E168+SQRT(H168^2-4*($P$139)*O168))/E169)^(1/$AV$43),2)</f>
        <v>#VALUE!</v>
      </c>
      <c r="E170" s="429"/>
      <c r="F170" s="77" t="s">
        <v>85</v>
      </c>
      <c r="G170" s="31"/>
      <c r="H170" s="44"/>
      <c r="I170" s="77"/>
      <c r="J170" s="77"/>
      <c r="K170" s="77"/>
      <c r="L170" s="30"/>
      <c r="M170" s="30"/>
      <c r="N170" s="30"/>
      <c r="O170" s="30"/>
      <c r="P170" s="30"/>
      <c r="Q170" s="30"/>
      <c r="R170" s="30"/>
      <c r="S170" s="30"/>
      <c r="T170" s="44">
        <f t="shared" si="6"/>
        <v>54</v>
      </c>
      <c r="U170" s="44"/>
    </row>
    <row r="171" spans="1:21" ht="14.25">
      <c r="A171" s="30"/>
      <c r="B171" s="74"/>
      <c r="C171" s="74"/>
      <c r="D171" s="74"/>
      <c r="E171" s="74"/>
      <c r="F171" s="31"/>
      <c r="G171" s="31"/>
      <c r="H171" s="31"/>
      <c r="I171" s="31"/>
      <c r="J171" s="31"/>
      <c r="K171" s="31"/>
      <c r="L171" s="30"/>
      <c r="M171" s="30"/>
      <c r="N171" s="30"/>
      <c r="O171" s="30"/>
      <c r="P171" s="30"/>
      <c r="Q171" s="30"/>
      <c r="R171" s="30"/>
      <c r="S171" s="30"/>
      <c r="T171" s="44">
        <f t="shared" si="6"/>
        <v>55</v>
      </c>
      <c r="U171" s="44"/>
    </row>
    <row r="172" spans="1:21" ht="14.25">
      <c r="A172" s="30"/>
      <c r="B172" s="501" t="s">
        <v>223</v>
      </c>
      <c r="C172" s="501" t="s">
        <v>75</v>
      </c>
      <c r="D172" s="502">
        <f>$AT$42</f>
        <v>1695</v>
      </c>
      <c r="E172" s="502"/>
      <c r="F172" s="502"/>
      <c r="G172" s="502"/>
      <c r="H172" s="502"/>
      <c r="I172" s="429" t="s">
        <v>75</v>
      </c>
      <c r="J172" s="427" t="e">
        <f>ROUNDUP($AT$42/($AV$36^$AV$43+$AX$43),2)</f>
        <v>#VALUE!</v>
      </c>
      <c r="K172" s="427"/>
      <c r="L172" s="499" t="s">
        <v>59</v>
      </c>
      <c r="M172" s="499"/>
      <c r="N172" s="327"/>
      <c r="O172" s="327"/>
      <c r="P172" s="327"/>
      <c r="Q172" s="327"/>
      <c r="R172" s="327"/>
      <c r="S172" s="65"/>
      <c r="T172" s="44">
        <f t="shared" si="6"/>
        <v>56</v>
      </c>
      <c r="U172" s="44"/>
    </row>
    <row r="173" spans="1:21" ht="14.25">
      <c r="A173" s="30"/>
      <c r="B173" s="501"/>
      <c r="C173" s="501"/>
      <c r="D173" s="507" t="e">
        <f>ROUND($AV$36^$AV$43,3)</f>
        <v>#VALUE!</v>
      </c>
      <c r="E173" s="507"/>
      <c r="F173" s="66" t="s">
        <v>135</v>
      </c>
      <c r="G173" s="508">
        <f>$AX$43</f>
        <v>10</v>
      </c>
      <c r="H173" s="508"/>
      <c r="I173" s="429"/>
      <c r="J173" s="427"/>
      <c r="K173" s="427"/>
      <c r="L173" s="499"/>
      <c r="M173" s="499"/>
      <c r="N173" s="327"/>
      <c r="O173" s="327"/>
      <c r="P173" s="327"/>
      <c r="Q173" s="327"/>
      <c r="R173" s="327"/>
      <c r="S173" s="65"/>
      <c r="T173" s="44">
        <f t="shared" si="6"/>
        <v>57</v>
      </c>
      <c r="U173" s="44"/>
    </row>
    <row r="174" spans="1:21" ht="13.5" customHeight="1">
      <c r="A174" s="30"/>
      <c r="B174" s="30"/>
      <c r="C174" s="30"/>
      <c r="D174" s="30"/>
      <c r="E174" s="30"/>
      <c r="F174" s="78"/>
      <c r="G174" s="78"/>
      <c r="H174" s="30"/>
      <c r="I174" s="30"/>
      <c r="J174" s="30"/>
      <c r="K174" s="30"/>
      <c r="L174" s="89"/>
      <c r="M174" s="89"/>
      <c r="N174" s="90"/>
      <c r="O174" s="90"/>
      <c r="P174" s="90"/>
      <c r="Q174" s="90"/>
      <c r="R174" s="30"/>
      <c r="S174" s="30"/>
      <c r="T174" s="44">
        <f t="shared" si="6"/>
        <v>58</v>
      </c>
      <c r="U174" s="44"/>
    </row>
    <row r="175" spans="1:21" ht="13.5" customHeight="1">
      <c r="A175" s="134" t="s">
        <v>224</v>
      </c>
      <c r="B175" s="30"/>
      <c r="C175" s="30"/>
      <c r="D175" s="30"/>
      <c r="E175" s="30"/>
      <c r="F175" s="30"/>
      <c r="G175" s="30"/>
      <c r="H175" s="30"/>
      <c r="I175" s="30"/>
      <c r="J175" s="30"/>
      <c r="K175" s="30"/>
      <c r="L175" s="30"/>
      <c r="M175" s="30"/>
      <c r="N175" s="30"/>
      <c r="O175" s="30"/>
      <c r="P175" s="30"/>
      <c r="Q175" s="30"/>
      <c r="R175" s="30"/>
      <c r="S175" s="30"/>
      <c r="T175" s="44">
        <v>1</v>
      </c>
      <c r="U175" s="44"/>
    </row>
    <row r="176" spans="1:21" ht="13.5" customHeight="1">
      <c r="A176" s="44"/>
      <c r="B176" s="79"/>
      <c r="C176" s="429" t="s">
        <v>194</v>
      </c>
      <c r="D176" s="503" t="s">
        <v>185</v>
      </c>
      <c r="E176" s="427" t="e">
        <f>$AO$36</f>
        <v>#VALUE!</v>
      </c>
      <c r="F176" s="427"/>
      <c r="G176" s="429" t="s">
        <v>97</v>
      </c>
      <c r="H176" s="831" t="s">
        <v>480</v>
      </c>
      <c r="I176" s="504"/>
      <c r="J176" s="506" t="e">
        <f>$P$139</f>
        <v>#DIV/0!</v>
      </c>
      <c r="K176" s="506"/>
      <c r="L176" s="429" t="e">
        <f>"）×"&amp;$AV$36&amp;"×60×"&amp;$K$9&amp;"×"&amp;ROUND($G$14/10000,4)&amp;"×"</f>
        <v>#VALUE!</v>
      </c>
      <c r="M176" s="429"/>
      <c r="N176" s="429"/>
      <c r="O176" s="429"/>
      <c r="P176" s="429"/>
      <c r="Q176" s="429"/>
      <c r="R176" s="429"/>
      <c r="S176" s="34">
        <v>1</v>
      </c>
      <c r="T176" s="44">
        <f t="shared" si="6"/>
        <v>2</v>
      </c>
      <c r="U176" s="44"/>
    </row>
    <row r="177" spans="1:21" ht="13.5" customHeight="1">
      <c r="A177" s="30"/>
      <c r="B177" s="51"/>
      <c r="C177" s="429"/>
      <c r="D177" s="501"/>
      <c r="E177" s="427"/>
      <c r="F177" s="427"/>
      <c r="G177" s="429"/>
      <c r="H177" s="429">
        <v>2</v>
      </c>
      <c r="I177" s="429"/>
      <c r="J177" s="506"/>
      <c r="K177" s="506"/>
      <c r="L177" s="429"/>
      <c r="M177" s="429"/>
      <c r="N177" s="429"/>
      <c r="O177" s="429"/>
      <c r="P177" s="429"/>
      <c r="Q177" s="429"/>
      <c r="R177" s="429"/>
      <c r="S177" s="28">
        <v>360</v>
      </c>
      <c r="T177" s="44">
        <f t="shared" si="6"/>
        <v>3</v>
      </c>
      <c r="U177" s="44"/>
    </row>
    <row r="178" spans="1:21" ht="13.5" customHeight="1">
      <c r="A178" s="30"/>
      <c r="B178" s="45"/>
      <c r="C178" s="45"/>
      <c r="D178" s="28" t="s">
        <v>75</v>
      </c>
      <c r="E178" s="455" t="e">
        <f>ROUND(($AO$36-$P$139)*$AV$36*60*($K$9*$G$14/10000)/360,2)</f>
        <v>#VALUE!</v>
      </c>
      <c r="F178" s="455"/>
      <c r="G178" s="56" t="s">
        <v>76</v>
      </c>
      <c r="H178" s="80"/>
      <c r="I178" s="80"/>
      <c r="J178" s="80"/>
      <c r="K178" s="80"/>
      <c r="L178" s="80"/>
      <c r="M178" s="80"/>
      <c r="N178" s="28"/>
      <c r="O178" s="28"/>
      <c r="P178" s="44"/>
      <c r="Q178" s="44"/>
      <c r="R178" s="44"/>
      <c r="S178" s="44"/>
      <c r="T178" s="44">
        <f t="shared" si="6"/>
        <v>4</v>
      </c>
      <c r="U178" s="44"/>
    </row>
    <row r="179" spans="1:21" ht="13.5" customHeight="1">
      <c r="A179" s="30"/>
      <c r="B179" s="30"/>
      <c r="C179" s="30"/>
      <c r="D179" s="30"/>
      <c r="E179" s="30"/>
      <c r="F179" s="30"/>
      <c r="G179" s="30"/>
      <c r="H179" s="30"/>
      <c r="I179" s="30"/>
      <c r="J179" s="30"/>
      <c r="K179" s="30"/>
      <c r="L179" s="74"/>
      <c r="M179" s="74"/>
      <c r="N179" s="77"/>
      <c r="O179" s="77"/>
      <c r="P179" s="77"/>
      <c r="Q179" s="77"/>
      <c r="R179" s="77"/>
      <c r="S179" s="77"/>
      <c r="T179" s="44">
        <f t="shared" si="6"/>
        <v>5</v>
      </c>
      <c r="U179" s="44"/>
    </row>
    <row r="180" spans="1:21" ht="13.5" customHeight="1">
      <c r="A180" s="30"/>
      <c r="B180" s="30"/>
      <c r="C180" s="30"/>
      <c r="D180" s="30" t="s">
        <v>195</v>
      </c>
      <c r="E180" s="30"/>
      <c r="F180" s="30"/>
      <c r="G180" s="30"/>
      <c r="H180" s="30"/>
      <c r="I180" s="30"/>
      <c r="J180" s="30"/>
      <c r="K180" s="30"/>
      <c r="L180" s="74"/>
      <c r="M180" s="74"/>
      <c r="N180" s="77"/>
      <c r="O180" s="77"/>
      <c r="P180" s="77"/>
      <c r="Q180" s="77"/>
      <c r="R180" s="77"/>
      <c r="S180" s="77"/>
      <c r="T180" s="44">
        <f t="shared" si="6"/>
        <v>6</v>
      </c>
      <c r="U180" s="44"/>
    </row>
    <row r="181" spans="1:21" ht="13.5" customHeight="1">
      <c r="A181" s="30"/>
      <c r="B181" s="30"/>
      <c r="C181" s="30"/>
      <c r="D181" s="30"/>
      <c r="E181" s="30"/>
      <c r="F181" s="30"/>
      <c r="G181" s="30"/>
      <c r="H181" s="30"/>
      <c r="I181" s="30"/>
      <c r="J181" s="30"/>
      <c r="K181" s="30"/>
      <c r="L181" s="74"/>
      <c r="M181" s="74"/>
      <c r="N181" s="77"/>
      <c r="O181" s="77"/>
      <c r="P181" s="77"/>
      <c r="Q181" s="77"/>
      <c r="R181" s="77"/>
      <c r="S181" s="77"/>
      <c r="T181" s="44">
        <f t="shared" si="6"/>
        <v>7</v>
      </c>
      <c r="U181" s="44"/>
    </row>
    <row r="182" spans="1:21" ht="13.5" customHeight="1">
      <c r="A182" s="134" t="s">
        <v>225</v>
      </c>
      <c r="B182" s="30"/>
      <c r="C182" s="30"/>
      <c r="D182" s="30"/>
      <c r="E182" s="30"/>
      <c r="F182" s="30"/>
      <c r="G182" s="30"/>
      <c r="H182" s="30"/>
      <c r="I182" s="30"/>
      <c r="J182" s="30"/>
      <c r="K182" s="30"/>
      <c r="L182" s="30"/>
      <c r="M182" s="30"/>
      <c r="N182" s="30"/>
      <c r="O182" s="30"/>
      <c r="P182" s="30"/>
      <c r="Q182" s="30"/>
      <c r="R182" s="30"/>
      <c r="S182" s="30"/>
      <c r="T182" s="44">
        <f t="shared" si="6"/>
        <v>8</v>
      </c>
      <c r="U182" s="44"/>
    </row>
    <row r="183" spans="1:21" ht="13.5" customHeight="1">
      <c r="A183" s="30"/>
      <c r="B183" s="44"/>
      <c r="C183" s="35" t="s">
        <v>197</v>
      </c>
      <c r="D183" s="35" t="s">
        <v>75</v>
      </c>
      <c r="E183" s="438">
        <f>AS38</f>
        <v>15</v>
      </c>
      <c r="F183" s="438"/>
      <c r="G183" s="71" t="s">
        <v>130</v>
      </c>
      <c r="H183" s="479">
        <f>$G$14/10000</f>
        <v>0</v>
      </c>
      <c r="I183" s="479"/>
      <c r="J183" s="327"/>
      <c r="K183" s="327"/>
      <c r="L183" s="327"/>
      <c r="M183" s="327"/>
      <c r="N183" s="327"/>
      <c r="O183" s="327"/>
      <c r="P183" s="327"/>
      <c r="Q183" s="327"/>
      <c r="R183" s="327"/>
      <c r="S183" s="30"/>
      <c r="T183" s="44">
        <f t="shared" si="6"/>
        <v>9</v>
      </c>
      <c r="U183" s="44"/>
    </row>
    <row r="184" spans="1:21" ht="13.5" customHeight="1">
      <c r="A184" s="30"/>
      <c r="B184" s="44"/>
      <c r="C184" s="35"/>
      <c r="D184" s="71" t="s">
        <v>75</v>
      </c>
      <c r="E184" s="480">
        <f>ROUND(E183*H183,2)</f>
        <v>0</v>
      </c>
      <c r="F184" s="480"/>
      <c r="G184" s="30" t="s">
        <v>76</v>
      </c>
      <c r="H184" s="63"/>
      <c r="I184" s="71"/>
      <c r="J184" s="71"/>
      <c r="K184" s="71"/>
      <c r="L184" s="71"/>
      <c r="M184" s="71"/>
      <c r="N184" s="71"/>
      <c r="O184" s="71"/>
      <c r="P184" s="71"/>
      <c r="Q184" s="30"/>
      <c r="R184" s="30"/>
      <c r="S184" s="30"/>
      <c r="T184" s="44">
        <f t="shared" si="6"/>
        <v>10</v>
      </c>
      <c r="U184" s="44"/>
    </row>
    <row r="185" spans="1:21" ht="13.5" customHeight="1">
      <c r="A185" s="30"/>
      <c r="B185" s="30"/>
      <c r="C185" s="30"/>
      <c r="D185" s="30"/>
      <c r="E185" s="30"/>
      <c r="F185" s="30"/>
      <c r="G185" s="30"/>
      <c r="H185" s="30"/>
      <c r="I185" s="30"/>
      <c r="J185" s="30"/>
      <c r="K185" s="30"/>
      <c r="L185" s="30"/>
      <c r="M185" s="30"/>
      <c r="N185" s="30"/>
      <c r="O185" s="30"/>
      <c r="P185" s="30"/>
      <c r="Q185" s="30"/>
      <c r="R185" s="30"/>
      <c r="S185" s="30"/>
      <c r="T185" s="44">
        <f t="shared" si="6"/>
        <v>11</v>
      </c>
      <c r="U185" s="44"/>
    </row>
    <row r="186" spans="1:21" ht="13.5" customHeight="1">
      <c r="A186" s="134" t="s">
        <v>465</v>
      </c>
      <c r="B186" s="30"/>
      <c r="C186" s="30"/>
      <c r="D186" s="30"/>
      <c r="E186" s="30"/>
      <c r="F186" s="30"/>
      <c r="G186" s="30"/>
      <c r="H186" s="30"/>
      <c r="I186" s="30"/>
      <c r="J186" s="30"/>
      <c r="K186" s="30"/>
      <c r="L186" s="30"/>
      <c r="M186" s="30"/>
      <c r="N186" s="30"/>
      <c r="O186" s="30"/>
      <c r="P186" s="30"/>
      <c r="Q186" s="30"/>
      <c r="R186" s="30"/>
      <c r="S186" s="30"/>
      <c r="T186" s="44">
        <f t="shared" si="6"/>
        <v>12</v>
      </c>
      <c r="U186" s="44"/>
    </row>
    <row r="187" spans="1:21" ht="13.5" customHeight="1">
      <c r="A187" s="30"/>
      <c r="B187" s="30"/>
      <c r="C187" s="35" t="s">
        <v>86</v>
      </c>
      <c r="D187" s="35" t="s">
        <v>75</v>
      </c>
      <c r="E187" s="481">
        <f>ROUND($AU$46,2)</f>
        <v>0</v>
      </c>
      <c r="F187" s="482"/>
      <c r="G187" s="92" t="s">
        <v>135</v>
      </c>
      <c r="H187" s="481">
        <f>E184</f>
        <v>0</v>
      </c>
      <c r="I187" s="482"/>
      <c r="J187" s="327"/>
      <c r="K187" s="327"/>
      <c r="L187" s="327"/>
      <c r="M187" s="327"/>
      <c r="N187" s="327"/>
      <c r="O187" s="327"/>
      <c r="P187" s="327"/>
      <c r="Q187" s="327"/>
      <c r="R187" s="327"/>
      <c r="S187" s="44"/>
      <c r="T187" s="44">
        <f t="shared" si="6"/>
        <v>13</v>
      </c>
      <c r="U187" s="44"/>
    </row>
    <row r="188" spans="1:21" ht="13.5" customHeight="1">
      <c r="A188" s="30"/>
      <c r="B188" s="30"/>
      <c r="C188" s="30"/>
      <c r="D188" s="81" t="s">
        <v>75</v>
      </c>
      <c r="E188" s="435">
        <f>E187+H187</f>
        <v>0</v>
      </c>
      <c r="F188" s="435"/>
      <c r="G188" s="30" t="s">
        <v>76</v>
      </c>
      <c r="H188" s="80" t="e">
        <f>"（ｈａ当り "&amp;ROUND(E188/($G$14/10000),0)&amp;" m3)"</f>
        <v>#DIV/0!</v>
      </c>
      <c r="I188" s="80"/>
      <c r="J188" s="80"/>
      <c r="K188" s="80"/>
      <c r="L188" s="80"/>
      <c r="M188" s="80"/>
      <c r="N188" s="30"/>
      <c r="O188" s="30"/>
      <c r="P188" s="30"/>
      <c r="Q188" s="30"/>
      <c r="R188" s="30"/>
      <c r="S188" s="30"/>
      <c r="T188" s="44">
        <f t="shared" si="6"/>
        <v>14</v>
      </c>
      <c r="U188" s="44"/>
    </row>
    <row r="189" spans="1:21" ht="13.5" customHeight="1">
      <c r="A189" s="82"/>
      <c r="B189" s="82"/>
      <c r="C189" s="82"/>
      <c r="D189" s="82"/>
      <c r="E189" s="82"/>
      <c r="F189" s="82"/>
      <c r="G189" s="82"/>
      <c r="H189" s="82"/>
      <c r="I189" s="80"/>
      <c r="J189" s="80"/>
      <c r="K189" s="80"/>
      <c r="L189" s="80"/>
      <c r="M189" s="80"/>
      <c r="N189" s="80"/>
      <c r="O189" s="82"/>
      <c r="P189" s="82"/>
      <c r="Q189" s="82"/>
      <c r="R189" s="82"/>
      <c r="S189" s="82"/>
      <c r="T189" s="44">
        <f t="shared" si="6"/>
        <v>15</v>
      </c>
      <c r="U189" s="44"/>
    </row>
    <row r="190" spans="1:21" ht="13.5" customHeight="1">
      <c r="A190" s="134" t="s">
        <v>466</v>
      </c>
      <c r="B190" s="30"/>
      <c r="C190" s="30"/>
      <c r="D190" s="30"/>
      <c r="E190" s="30"/>
      <c r="F190" s="30"/>
      <c r="G190" s="30"/>
      <c r="H190" s="30"/>
      <c r="I190" s="30"/>
      <c r="J190" s="30"/>
      <c r="K190" s="30"/>
      <c r="L190" s="30"/>
      <c r="M190" s="30"/>
      <c r="N190" s="30"/>
      <c r="O190" s="30"/>
      <c r="P190" s="30"/>
      <c r="Q190" s="30"/>
      <c r="R190" s="30"/>
      <c r="S190" s="30"/>
      <c r="T190" s="44">
        <f t="shared" si="6"/>
        <v>16</v>
      </c>
      <c r="U190" s="44"/>
    </row>
    <row r="191" spans="1:21" ht="13.5" customHeight="1">
      <c r="A191" s="30"/>
      <c r="B191" s="30"/>
      <c r="C191" s="35" t="s">
        <v>101</v>
      </c>
      <c r="D191" s="35" t="s">
        <v>75</v>
      </c>
      <c r="E191" s="436" t="s">
        <v>199</v>
      </c>
      <c r="F191" s="436"/>
      <c r="G191" s="35" t="s">
        <v>130</v>
      </c>
      <c r="H191" s="436" t="s">
        <v>200</v>
      </c>
      <c r="I191" s="436"/>
      <c r="J191" s="35" t="s">
        <v>130</v>
      </c>
      <c r="K191" s="481" t="s">
        <v>201</v>
      </c>
      <c r="L191" s="481"/>
      <c r="M191" s="35" t="s">
        <v>130</v>
      </c>
      <c r="N191" s="437" t="s">
        <v>202</v>
      </c>
      <c r="O191" s="437"/>
      <c r="P191" s="229" t="s">
        <v>130</v>
      </c>
      <c r="Q191" s="230" t="s">
        <v>363</v>
      </c>
      <c r="R191" s="44"/>
      <c r="S191" s="44"/>
      <c r="T191" s="44">
        <f>T190+1</f>
        <v>17</v>
      </c>
      <c r="U191" s="44"/>
    </row>
    <row r="192" spans="1:21" ht="13.5" customHeight="1">
      <c r="A192" s="30"/>
      <c r="B192" s="30"/>
      <c r="C192" s="35"/>
      <c r="D192" s="35" t="s">
        <v>75</v>
      </c>
      <c r="E192" s="469">
        <f>IF(D22="矩形ます(側面・底面浸透)",I22,0)</f>
        <v>0</v>
      </c>
      <c r="F192" s="469"/>
      <c r="G192" s="35" t="s">
        <v>130</v>
      </c>
      <c r="H192" s="469">
        <f>IF(D22="矩形ます(側面・底面浸透)",K22,0)</f>
        <v>0</v>
      </c>
      <c r="I192" s="469"/>
      <c r="J192" s="35" t="s">
        <v>130</v>
      </c>
      <c r="K192" s="469">
        <f>IF(D22="矩形ます(側面・底面浸透)",M22,0)</f>
        <v>0</v>
      </c>
      <c r="L192" s="469"/>
      <c r="M192" s="35" t="s">
        <v>130</v>
      </c>
      <c r="N192" s="469">
        <f>IF(D22="矩形ます(側面・底面浸透)",$K$16,0)</f>
        <v>0.9</v>
      </c>
      <c r="O192" s="469"/>
      <c r="P192" s="229" t="s">
        <v>130</v>
      </c>
      <c r="Q192" s="35">
        <f>IF(D22="矩形ます(側面・底面浸透)",O22,0)</f>
        <v>1</v>
      </c>
      <c r="R192" s="44"/>
      <c r="S192" s="44"/>
      <c r="T192" s="44">
        <f>T191+1</f>
        <v>18</v>
      </c>
      <c r="U192" s="44"/>
    </row>
    <row r="193" spans="1:21" ht="13.5" customHeight="1">
      <c r="A193" s="30"/>
      <c r="B193" s="30"/>
      <c r="C193" s="30"/>
      <c r="D193" s="81" t="s">
        <v>75</v>
      </c>
      <c r="E193" s="435">
        <f>E192*H192*K192*N192*Q192</f>
        <v>0</v>
      </c>
      <c r="F193" s="435"/>
      <c r="G193" s="30" t="s">
        <v>76</v>
      </c>
      <c r="H193" s="228" t="str">
        <f>IF(E193&gt;=E188,"ＯＫ","ＮＧ")</f>
        <v>ＯＫ</v>
      </c>
      <c r="I193" s="80"/>
      <c r="J193" s="80"/>
      <c r="K193" s="80"/>
      <c r="L193" s="80"/>
      <c r="M193" s="80"/>
      <c r="N193" s="30"/>
      <c r="O193" s="30"/>
      <c r="P193" s="30"/>
      <c r="Q193" s="30"/>
      <c r="R193" s="30"/>
      <c r="S193" s="30"/>
      <c r="T193" s="44">
        <f t="shared" si="6"/>
        <v>19</v>
      </c>
      <c r="U193" s="44"/>
    </row>
    <row r="194" spans="1:21" ht="13.5" customHeight="1">
      <c r="A194" s="44"/>
      <c r="B194" s="44"/>
      <c r="C194" s="44"/>
      <c r="D194" s="44"/>
      <c r="E194" s="44"/>
      <c r="F194" s="44"/>
      <c r="G194" s="44"/>
      <c r="H194" s="44"/>
      <c r="I194" s="44"/>
      <c r="J194" s="44"/>
      <c r="K194" s="44"/>
      <c r="L194" s="44"/>
      <c r="M194" s="44"/>
      <c r="N194" s="44"/>
      <c r="O194" s="44"/>
      <c r="P194" s="44"/>
      <c r="Q194" s="44"/>
      <c r="R194" s="44"/>
      <c r="S194" s="44"/>
      <c r="T194" s="44">
        <f t="shared" si="6"/>
        <v>20</v>
      </c>
      <c r="U194" s="44"/>
    </row>
    <row r="195" spans="1:21" ht="13.5" customHeight="1">
      <c r="A195" s="44"/>
      <c r="B195" s="44"/>
      <c r="C195" s="44"/>
      <c r="D195" s="44"/>
      <c r="E195" s="44"/>
      <c r="F195" s="44"/>
      <c r="G195" s="44"/>
      <c r="H195" s="44"/>
      <c r="I195" s="44"/>
      <c r="J195" s="44"/>
      <c r="K195" s="44"/>
      <c r="L195" s="44"/>
      <c r="M195" s="44"/>
      <c r="N195" s="44"/>
      <c r="O195" s="44"/>
      <c r="P195" s="44"/>
      <c r="Q195" s="44"/>
      <c r="R195" s="44"/>
      <c r="S195" s="44"/>
      <c r="T195" s="44"/>
      <c r="U195" s="44"/>
    </row>
  </sheetData>
  <sheetProtection algorithmName="SHA-512" hashValue="dbZNZ9YxWbd4kaguAXV0yFG/gXcn4ct3CMDyeCynSJFbgVpZslTtyh0oqfTkcMRSqNqt/l63ElXwsP6TzZCJJA==" saltValue="dhuwdonOF/gvNMkA+zeqYA==" spinCount="100000" sheet="1" objects="1" scenarios="1" selectLockedCells="1"/>
  <mergeCells count="290">
    <mergeCell ref="H99:J100"/>
    <mergeCell ref="H101:J101"/>
    <mergeCell ref="K99:M100"/>
    <mergeCell ref="K101:M101"/>
    <mergeCell ref="N99:P100"/>
    <mergeCell ref="N101:P101"/>
    <mergeCell ref="Q99:S100"/>
    <mergeCell ref="Q101:S101"/>
    <mergeCell ref="M144:N144"/>
    <mergeCell ref="Q144:R144"/>
    <mergeCell ref="J139:K139"/>
    <mergeCell ref="M139:N139"/>
    <mergeCell ref="Q104:S104"/>
    <mergeCell ref="I144:J144"/>
    <mergeCell ref="G129:R129"/>
    <mergeCell ref="O104:P104"/>
    <mergeCell ref="C122:F122"/>
    <mergeCell ref="C123:F123"/>
    <mergeCell ref="E128:F128"/>
    <mergeCell ref="E129:F129"/>
    <mergeCell ref="G130:R130"/>
    <mergeCell ref="G131:R131"/>
    <mergeCell ref="G122:R122"/>
    <mergeCell ref="G123:R123"/>
    <mergeCell ref="C124:F127"/>
    <mergeCell ref="C135:F135"/>
    <mergeCell ref="E138:F138"/>
    <mergeCell ref="E139:F139"/>
    <mergeCell ref="C176:C177"/>
    <mergeCell ref="D168:D169"/>
    <mergeCell ref="D176:D177"/>
    <mergeCell ref="C154:C155"/>
    <mergeCell ref="E193:F193"/>
    <mergeCell ref="H26:J26"/>
    <mergeCell ref="H176:I176"/>
    <mergeCell ref="E188:F188"/>
    <mergeCell ref="E192:F192"/>
    <mergeCell ref="H192:I192"/>
    <mergeCell ref="E176:F177"/>
    <mergeCell ref="H177:I177"/>
    <mergeCell ref="E168:F168"/>
    <mergeCell ref="H168:I168"/>
    <mergeCell ref="B101:G101"/>
    <mergeCell ref="E134:F134"/>
    <mergeCell ref="G132:R132"/>
    <mergeCell ref="G133:R133"/>
    <mergeCell ref="G134:R134"/>
    <mergeCell ref="K104:L104"/>
    <mergeCell ref="M104:N104"/>
    <mergeCell ref="K26:M26"/>
    <mergeCell ref="N26:P26"/>
    <mergeCell ref="B168:B169"/>
    <mergeCell ref="B172:B173"/>
    <mergeCell ref="C168:C169"/>
    <mergeCell ref="C172:C173"/>
    <mergeCell ref="D172:H172"/>
    <mergeCell ref="D173:E173"/>
    <mergeCell ref="G173:H173"/>
    <mergeCell ref="F165:G165"/>
    <mergeCell ref="F166:G166"/>
    <mergeCell ref="K166:L166"/>
    <mergeCell ref="G135:R135"/>
    <mergeCell ref="L165:M165"/>
    <mergeCell ref="E106:G106"/>
    <mergeCell ref="B106:D106"/>
    <mergeCell ref="H106:J106"/>
    <mergeCell ref="Q26:R26"/>
    <mergeCell ref="H27:J27"/>
    <mergeCell ref="K27:M27"/>
    <mergeCell ref="N27:P27"/>
    <mergeCell ref="Q27:R27"/>
    <mergeCell ref="Q28:R28"/>
    <mergeCell ref="P166:R166"/>
    <mergeCell ref="K192:L192"/>
    <mergeCell ref="N192:O192"/>
    <mergeCell ref="E191:F191"/>
    <mergeCell ref="H191:I191"/>
    <mergeCell ref="K191:L191"/>
    <mergeCell ref="N191:O191"/>
    <mergeCell ref="H28:J28"/>
    <mergeCell ref="K28:M28"/>
    <mergeCell ref="N28:P28"/>
    <mergeCell ref="K106:L106"/>
    <mergeCell ref="M106:N106"/>
    <mergeCell ref="O106:P106"/>
    <mergeCell ref="P139:Q139"/>
    <mergeCell ref="F91:G91"/>
    <mergeCell ref="H91:J91"/>
    <mergeCell ref="E184:F184"/>
    <mergeCell ref="E187:F187"/>
    <mergeCell ref="H187:I187"/>
    <mergeCell ref="E178:F178"/>
    <mergeCell ref="E183:F183"/>
    <mergeCell ref="H183:I183"/>
    <mergeCell ref="G176:G177"/>
    <mergeCell ref="J176:K177"/>
    <mergeCell ref="L176:R177"/>
    <mergeCell ref="K168:M168"/>
    <mergeCell ref="O168:Q168"/>
    <mergeCell ref="E169:Q169"/>
    <mergeCell ref="D170:E170"/>
    <mergeCell ref="R168:R169"/>
    <mergeCell ref="J172:K173"/>
    <mergeCell ref="L172:M173"/>
    <mergeCell ref="I172:I173"/>
    <mergeCell ref="E95:G95"/>
    <mergeCell ref="I95:K95"/>
    <mergeCell ref="M95:N95"/>
    <mergeCell ref="M96:N96"/>
    <mergeCell ref="C130:F131"/>
    <mergeCell ref="E133:F133"/>
    <mergeCell ref="Q106:S106"/>
    <mergeCell ref="E132:F132"/>
    <mergeCell ref="C128:D129"/>
    <mergeCell ref="K105:L105"/>
    <mergeCell ref="M105:N105"/>
    <mergeCell ref="O105:P105"/>
    <mergeCell ref="Q105:S105"/>
    <mergeCell ref="G128:R128"/>
    <mergeCell ref="C132:D134"/>
    <mergeCell ref="B99:G100"/>
    <mergeCell ref="AL34:AM34"/>
    <mergeCell ref="AL35:AM35"/>
    <mergeCell ref="AL36:AM36"/>
    <mergeCell ref="AO34:AP34"/>
    <mergeCell ref="AO35:AP35"/>
    <mergeCell ref="AO36:AP36"/>
    <mergeCell ref="AT29:AU29"/>
    <mergeCell ref="AM42:AM43"/>
    <mergeCell ref="C92:E92"/>
    <mergeCell ref="F92:G92"/>
    <mergeCell ref="I92:J92"/>
    <mergeCell ref="K92:M92"/>
    <mergeCell ref="N92:R92"/>
    <mergeCell ref="K91:M91"/>
    <mergeCell ref="N91:R91"/>
    <mergeCell ref="C91:E91"/>
    <mergeCell ref="I81:I82"/>
    <mergeCell ref="J81:J82"/>
    <mergeCell ref="K81:O82"/>
    <mergeCell ref="AU46:AV46"/>
    <mergeCell ref="AU48:AV48"/>
    <mergeCell ref="K36:M36"/>
    <mergeCell ref="K37:M37"/>
    <mergeCell ref="K38:M38"/>
    <mergeCell ref="AR34:AS34"/>
    <mergeCell ref="AR35:AS35"/>
    <mergeCell ref="AU34:AV34"/>
    <mergeCell ref="AU35:AV35"/>
    <mergeCell ref="AR42:AS43"/>
    <mergeCell ref="AT30:AU30"/>
    <mergeCell ref="AY34:BA34"/>
    <mergeCell ref="AV36:AW36"/>
    <mergeCell ref="AS38:AT38"/>
    <mergeCell ref="AV30:AW30"/>
    <mergeCell ref="K7:M7"/>
    <mergeCell ref="K6:M6"/>
    <mergeCell ref="K5:M5"/>
    <mergeCell ref="AR41:AZ41"/>
    <mergeCell ref="AX43:AY43"/>
    <mergeCell ref="K16:M16"/>
    <mergeCell ref="AT42:AZ42"/>
    <mergeCell ref="AZ29:BA29"/>
    <mergeCell ref="AN30:AO30"/>
    <mergeCell ref="AP30:AQ30"/>
    <mergeCell ref="K17:M17"/>
    <mergeCell ref="K18:M18"/>
    <mergeCell ref="AN29:AO29"/>
    <mergeCell ref="AP29:AQ29"/>
    <mergeCell ref="AR29:AS29"/>
    <mergeCell ref="AV29:AW29"/>
    <mergeCell ref="AL29:AM29"/>
    <mergeCell ref="AL30:AM30"/>
    <mergeCell ref="K22:L22"/>
    <mergeCell ref="AX29:AY29"/>
    <mergeCell ref="AX30:AY30"/>
    <mergeCell ref="AR30:AS30"/>
    <mergeCell ref="M22:N22"/>
    <mergeCell ref="AZ30:BA30"/>
    <mergeCell ref="D11:F11"/>
    <mergeCell ref="G10:I10"/>
    <mergeCell ref="G11:I11"/>
    <mergeCell ref="J11:K11"/>
    <mergeCell ref="J10:K10"/>
    <mergeCell ref="L10:M10"/>
    <mergeCell ref="L11:M11"/>
    <mergeCell ref="N10:R10"/>
    <mergeCell ref="N11:R11"/>
    <mergeCell ref="N12:R12"/>
    <mergeCell ref="AS26:AT26"/>
    <mergeCell ref="E104:G104"/>
    <mergeCell ref="E105:G105"/>
    <mergeCell ref="B104:D104"/>
    <mergeCell ref="B105:D105"/>
    <mergeCell ref="H104:J104"/>
    <mergeCell ref="H105:J105"/>
    <mergeCell ref="C90:E90"/>
    <mergeCell ref="F90:G90"/>
    <mergeCell ref="H90:J90"/>
    <mergeCell ref="K90:M90"/>
    <mergeCell ref="N90:R90"/>
    <mergeCell ref="N13:R13"/>
    <mergeCell ref="K84:L84"/>
    <mergeCell ref="C88:G88"/>
    <mergeCell ref="H88:J88"/>
    <mergeCell ref="K88:M88"/>
    <mergeCell ref="N88:R88"/>
    <mergeCell ref="C89:E89"/>
    <mergeCell ref="F89:G89"/>
    <mergeCell ref="H89:J89"/>
    <mergeCell ref="K89:M89"/>
    <mergeCell ref="N89:R89"/>
    <mergeCell ref="J8:M8"/>
    <mergeCell ref="K9:M9"/>
    <mergeCell ref="D20:H21"/>
    <mergeCell ref="I20:J21"/>
    <mergeCell ref="K20:L21"/>
    <mergeCell ref="M20:N21"/>
    <mergeCell ref="O20:P21"/>
    <mergeCell ref="O22:P22"/>
    <mergeCell ref="D14:F14"/>
    <mergeCell ref="G14:I14"/>
    <mergeCell ref="J14:K14"/>
    <mergeCell ref="L14:M14"/>
    <mergeCell ref="N14:R14"/>
    <mergeCell ref="D22:H22"/>
    <mergeCell ref="I22:J22"/>
    <mergeCell ref="D12:F12"/>
    <mergeCell ref="D13:F13"/>
    <mergeCell ref="G12:I12"/>
    <mergeCell ref="G13:I13"/>
    <mergeCell ref="J12:K12"/>
    <mergeCell ref="J13:K13"/>
    <mergeCell ref="L12:M12"/>
    <mergeCell ref="L13:M13"/>
    <mergeCell ref="D10:F10"/>
    <mergeCell ref="J39:M39"/>
    <mergeCell ref="K40:M40"/>
    <mergeCell ref="D41:F41"/>
    <mergeCell ref="G41:I41"/>
    <mergeCell ref="J41:K41"/>
    <mergeCell ref="L41:M41"/>
    <mergeCell ref="N41:R41"/>
    <mergeCell ref="D42:F42"/>
    <mergeCell ref="G42:I42"/>
    <mergeCell ref="J42:K42"/>
    <mergeCell ref="L42:M42"/>
    <mergeCell ref="N42:R42"/>
    <mergeCell ref="K47:M47"/>
    <mergeCell ref="K48:M48"/>
    <mergeCell ref="K49:M49"/>
    <mergeCell ref="D51:H52"/>
    <mergeCell ref="I51:J52"/>
    <mergeCell ref="K51:L52"/>
    <mergeCell ref="M51:N52"/>
    <mergeCell ref="O51:P52"/>
    <mergeCell ref="D43:F43"/>
    <mergeCell ref="G43:I43"/>
    <mergeCell ref="J43:K43"/>
    <mergeCell ref="L43:M43"/>
    <mergeCell ref="N43:R43"/>
    <mergeCell ref="D44:F44"/>
    <mergeCell ref="G44:I44"/>
    <mergeCell ref="J44:K44"/>
    <mergeCell ref="L44:M44"/>
    <mergeCell ref="N44:R44"/>
    <mergeCell ref="J23:N23"/>
    <mergeCell ref="J54:N54"/>
    <mergeCell ref="Q57:R57"/>
    <mergeCell ref="H58:J58"/>
    <mergeCell ref="K58:M58"/>
    <mergeCell ref="N58:P58"/>
    <mergeCell ref="Q58:R58"/>
    <mergeCell ref="H59:J59"/>
    <mergeCell ref="K59:M59"/>
    <mergeCell ref="N59:P59"/>
    <mergeCell ref="Q59:R59"/>
    <mergeCell ref="D53:H53"/>
    <mergeCell ref="I53:J53"/>
    <mergeCell ref="K53:L53"/>
    <mergeCell ref="M53:N53"/>
    <mergeCell ref="O53:P53"/>
    <mergeCell ref="H57:J57"/>
    <mergeCell ref="K57:M57"/>
    <mergeCell ref="N57:P57"/>
    <mergeCell ref="D45:F45"/>
    <mergeCell ref="G45:I45"/>
    <mergeCell ref="J45:K45"/>
    <mergeCell ref="L45:M45"/>
    <mergeCell ref="N45:R45"/>
  </mergeCells>
  <phoneticPr fontId="25"/>
  <conditionalFormatting sqref="B103:S103 E104:E106 B104:B106 K104:S106 H104:H106 B136:S139 B107:S121 B122:B135 S122:S135">
    <cfRule type="expression" dxfId="83" priority="26">
      <formula>#REF!="オンサイト貯留施設"</formula>
    </cfRule>
  </conditionalFormatting>
  <conditionalFormatting sqref="C122:G123 C128:G135 C124 G124:G127">
    <cfRule type="expression" dxfId="82" priority="1">
      <formula>#REF!="オフサイト貯留施設"</formula>
    </cfRule>
  </conditionalFormatting>
  <dataValidations count="10">
    <dataValidation allowBlank="1" showInputMessage="1" showErrorMessage="1" sqref="O22 D11:D13 AR41"/>
    <dataValidation type="list" allowBlank="1" showInputMessage="1" showErrorMessage="1" sqref="K18">
      <formula1>"1.0m以上,1.0m未満"</formula1>
    </dataValidation>
    <dataValidation type="list" errorStyle="warning" allowBlank="1" showInputMessage="1" showErrorMessage="1" error="特に理由がない場合はプルダウンから選択してください。_x000a_プルダウンが適さない場合は直接入力してください。" sqref="K6:M6">
      <formula1>"0.5,0.6"</formula1>
    </dataValidation>
    <dataValidation type="list" errorStyle="warning" allowBlank="1" showInputMessage="1" showErrorMessage="1" errorTitle="確認" error="特に理由がない場合はプルダウンから選択してください。_x000a_プルダウンが適さない場合は直接入力してください。_x000a_例　駐車場面積１区画18m2×1台の場合など" prompt="駐車場以外にも舗装がある場合は加算する。" sqref="K7:M7">
      <formula1>"0,12.5,25.0,37.5"</formula1>
    </dataValidation>
    <dataValidation showInputMessage="1" showErrorMessage="1" sqref="B101"/>
    <dataValidation type="decimal" allowBlank="1" showInputMessage="1" showErrorMessage="1" error="0.02~0.20の範囲で入力してください。_x000a_0.02未満は浸透不適地なので浸透不可" sqref="K17:M17">
      <formula1>0.02</formula1>
      <formula2>0.2</formula2>
    </dataValidation>
    <dataValidation type="decimal" allowBlank="1" showInputMessage="1" showErrorMessage="1" prompt="使用する製品により0.90~1.00の範囲で入力する。" sqref="K16:M16">
      <formula1>0.9</formula1>
      <formula2>0.98</formula2>
    </dataValidation>
    <dataValidation type="list" allowBlank="1" showInputMessage="1" showErrorMessage="1" sqref="J23">
      <formula1>"市道路排水施設,国県私が管理する排水施設"</formula1>
    </dataValidation>
    <dataValidation type="list" errorStyle="warning" allowBlank="1" showInputMessage="1" showErrorMessage="1" errorTitle="確認" error="特に理由がない場合はプルダウンから選択してください。_x000a_プルダウンが適さない場合は直接入力してください。" sqref="K5:M5">
      <formula1>"100,110,120,130,140,150,160,170,180,190,200,210,220,230"</formula1>
    </dataValidation>
    <dataValidation type="list" allowBlank="1" showInputMessage="1" showErrorMessage="1" sqref="J8:M8">
      <formula1>"集水する(本施設で抑制),直接放流(別施設で抑制),直接放流(開発区域外)"</formula1>
    </dataValidation>
  </dataValidations>
  <pageMargins left="0.74803149606299213" right="0.74803149606299213" top="0.59055118110236227" bottom="0.59055118110236227" header="0.39370078740157483" footer="0.27559055118110237"/>
  <pageSetup paperSize="9" orientation="portrait" r:id="rId1"/>
  <headerFooter>
    <oddHeader>&amp;R&amp;"BIZ UD明朝 Medium,標準"提出先　土木建設課</oddHeader>
    <oddFooter>&amp;L&amp;"BIZ UD明朝 Medium,標準"&amp;12&amp;A&amp;C&amp;"BIZ UD明朝 Medium,標準"&amp;12&amp;P / &amp;N ページ&amp;R雨水流出抑制計算ver3.1
&amp;D</oddFooter>
  </headerFooter>
  <rowBreaks count="3" manualBreakCount="3">
    <brk id="61" max="18" man="1"/>
    <brk id="116" max="18" man="1"/>
    <brk id="174" max="18"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79998168889431442"/>
  </sheetPr>
  <dimension ref="A1:BO294"/>
  <sheetViews>
    <sheetView showZeros="0" zoomScaleNormal="100" zoomScaleSheetLayoutView="100" workbookViewId="0">
      <selection activeCell="M33" sqref="M33:N33"/>
    </sheetView>
  </sheetViews>
  <sheetFormatPr defaultColWidth="4.625" defaultRowHeight="13.5" customHeight="1"/>
  <cols>
    <col min="1" max="20" width="4.625" style="1" customWidth="1"/>
    <col min="21" max="28" width="4.625" style="1"/>
    <col min="29" max="36" width="4.625" style="1" customWidth="1"/>
    <col min="37" max="40" width="4.625" style="1" hidden="1" customWidth="1"/>
    <col min="41" max="41" width="33.875" style="1" hidden="1" customWidth="1"/>
    <col min="42" max="45" width="4.625" style="1" hidden="1" customWidth="1"/>
    <col min="46" max="46" width="56" style="1" hidden="1" customWidth="1"/>
    <col min="47" max="47" width="6.5" style="1" hidden="1" customWidth="1"/>
    <col min="48" max="48" width="7.5" style="1" hidden="1" customWidth="1"/>
    <col min="49" max="49" width="22.75" style="1" hidden="1" customWidth="1"/>
    <col min="50" max="50" width="7.5" style="1" hidden="1" customWidth="1"/>
    <col min="51" max="52" width="8.5" style="1" hidden="1" customWidth="1"/>
    <col min="53" max="53" width="11.625" style="1" hidden="1" customWidth="1"/>
    <col min="54" max="54" width="9.5" style="1" hidden="1" customWidth="1"/>
    <col min="55" max="55" width="8.5" style="1" hidden="1" customWidth="1"/>
    <col min="56" max="56" width="4.625" style="1" hidden="1" customWidth="1"/>
    <col min="57" max="57" width="8.5" style="1" hidden="1" customWidth="1"/>
    <col min="58" max="58" width="9.5" style="1" hidden="1" customWidth="1"/>
    <col min="59" max="59" width="4.625" style="1" hidden="1" customWidth="1"/>
    <col min="60" max="60" width="3.5" style="1" hidden="1" customWidth="1"/>
    <col min="61" max="61" width="8.5" style="1" hidden="1" customWidth="1"/>
    <col min="62" max="62" width="6.5" style="1" hidden="1" customWidth="1"/>
    <col min="63" max="63" width="4.625" style="1" hidden="1" customWidth="1"/>
    <col min="64" max="67" width="4.625" style="1" customWidth="1"/>
    <col min="68" max="16384" width="4.625" style="1"/>
  </cols>
  <sheetData>
    <row r="1" spans="1:63" ht="13.5" customHeight="1" thickBot="1">
      <c r="A1" s="328" t="s">
        <v>570</v>
      </c>
      <c r="B1" s="327"/>
      <c r="C1" s="327"/>
      <c r="D1" s="327"/>
      <c r="E1" s="327"/>
      <c r="F1" s="327"/>
      <c r="G1" s="327"/>
      <c r="H1" s="327"/>
      <c r="I1" s="327"/>
      <c r="J1" s="327"/>
      <c r="K1" s="327"/>
      <c r="L1" s="327"/>
      <c r="M1" s="327"/>
      <c r="N1" s="327"/>
      <c r="O1" s="327"/>
      <c r="P1" s="327"/>
      <c r="Q1" s="327"/>
      <c r="R1" s="327"/>
      <c r="S1" s="327"/>
      <c r="T1" s="182" t="s">
        <v>308</v>
      </c>
    </row>
    <row r="2" spans="1:63" ht="13.5" customHeight="1">
      <c r="A2" s="141" t="s">
        <v>634</v>
      </c>
      <c r="B2" s="142"/>
      <c r="C2" s="142"/>
      <c r="D2" s="142"/>
      <c r="E2" s="142"/>
      <c r="F2" s="142"/>
      <c r="G2" s="142"/>
      <c r="H2" s="142"/>
      <c r="I2" s="142"/>
      <c r="J2" s="142"/>
      <c r="K2" s="142"/>
      <c r="L2" s="142" t="s">
        <v>15</v>
      </c>
      <c r="M2" s="142"/>
      <c r="N2" s="142"/>
      <c r="O2" s="142"/>
      <c r="P2" s="142"/>
      <c r="Q2" s="142"/>
      <c r="R2" s="142"/>
      <c r="S2" s="143"/>
      <c r="U2" s="182"/>
      <c r="AK2" s="323" t="s">
        <v>563</v>
      </c>
      <c r="AL2" s="323"/>
      <c r="AM2" s="323"/>
      <c r="AN2" s="323"/>
      <c r="AO2" s="323"/>
      <c r="AP2" s="324"/>
      <c r="AQ2" s="325"/>
      <c r="AR2" s="325"/>
      <c r="AS2" s="325"/>
      <c r="AT2" s="325"/>
      <c r="AU2" s="325"/>
      <c r="AV2" s="325"/>
      <c r="AW2" s="325"/>
      <c r="AX2" s="325"/>
      <c r="AY2" s="325"/>
      <c r="AZ2" s="325"/>
      <c r="BA2" s="326"/>
      <c r="BB2" s="326"/>
      <c r="BC2" s="326"/>
      <c r="BD2" s="326"/>
      <c r="BE2" s="326"/>
      <c r="BF2" s="326"/>
      <c r="BG2" s="326"/>
      <c r="BH2" s="326"/>
      <c r="BI2" s="326"/>
      <c r="BJ2" s="326"/>
      <c r="BK2" s="326"/>
    </row>
    <row r="3" spans="1:63" ht="13.5" customHeight="1">
      <c r="A3" s="144"/>
      <c r="B3" s="165"/>
      <c r="C3" s="165"/>
      <c r="D3" s="165"/>
      <c r="E3" s="165"/>
      <c r="F3" s="165"/>
      <c r="G3" s="165"/>
      <c r="H3" s="165"/>
      <c r="I3" s="165"/>
      <c r="J3" s="165"/>
      <c r="K3" s="165"/>
      <c r="L3" s="145"/>
      <c r="M3" s="165" t="s">
        <v>17</v>
      </c>
      <c r="N3" s="165"/>
      <c r="O3" s="165"/>
      <c r="P3" s="165"/>
      <c r="Q3" s="165"/>
      <c r="R3" s="165"/>
      <c r="S3" s="146"/>
      <c r="T3" s="182"/>
      <c r="U3" s="182"/>
      <c r="AK3" s="325"/>
      <c r="AL3" s="325"/>
      <c r="AM3" s="325"/>
      <c r="AN3" s="325"/>
      <c r="AO3" s="325"/>
      <c r="AP3" s="325"/>
      <c r="AQ3" s="325"/>
      <c r="AR3" s="325"/>
      <c r="AS3" s="325"/>
      <c r="AT3" s="325"/>
      <c r="AU3" s="325"/>
      <c r="AV3" s="325"/>
      <c r="AW3" s="325"/>
      <c r="AX3" s="325"/>
      <c r="AY3" s="325"/>
      <c r="AZ3" s="325"/>
      <c r="BA3" s="326"/>
      <c r="BB3" s="326"/>
      <c r="BC3" s="326"/>
      <c r="BD3" s="326"/>
      <c r="BE3" s="326"/>
      <c r="BF3" s="326"/>
      <c r="BG3" s="326"/>
      <c r="BH3" s="326"/>
      <c r="BI3" s="326"/>
      <c r="BJ3" s="326"/>
      <c r="BK3" s="326"/>
    </row>
    <row r="4" spans="1:63" ht="13.5" customHeight="1">
      <c r="A4" s="144" t="s">
        <v>16</v>
      </c>
      <c r="B4" s="165"/>
      <c r="C4" s="165"/>
      <c r="D4" s="165"/>
      <c r="E4" s="165"/>
      <c r="F4" s="165"/>
      <c r="G4" s="165"/>
      <c r="H4" s="165"/>
      <c r="I4" s="165"/>
      <c r="J4" s="165"/>
      <c r="K4" s="165"/>
      <c r="L4" s="148"/>
      <c r="M4" s="165" t="s">
        <v>19</v>
      </c>
      <c r="N4" s="165"/>
      <c r="O4" s="165"/>
      <c r="P4" s="165"/>
      <c r="Q4" s="165"/>
      <c r="R4" s="165"/>
      <c r="S4" s="146"/>
      <c r="T4" s="182"/>
      <c r="U4" s="182"/>
      <c r="AK4" s="182"/>
      <c r="AL4" s="182"/>
      <c r="AM4" s="182"/>
      <c r="AN4" s="182"/>
    </row>
    <row r="5" spans="1:63" ht="13.5" customHeight="1">
      <c r="A5" s="147"/>
      <c r="B5" s="165">
        <v>1</v>
      </c>
      <c r="C5" s="165" t="s">
        <v>18</v>
      </c>
      <c r="D5" s="165"/>
      <c r="E5" s="165"/>
      <c r="F5" s="165"/>
      <c r="G5" s="165"/>
      <c r="H5" s="165"/>
      <c r="I5" s="165"/>
      <c r="J5" s="165"/>
      <c r="K5" s="165"/>
      <c r="L5" s="165"/>
      <c r="M5" s="165"/>
      <c r="N5" s="165"/>
      <c r="O5" s="165"/>
      <c r="P5" s="165"/>
      <c r="Q5" s="165"/>
      <c r="R5" s="165"/>
      <c r="S5" s="146"/>
      <c r="T5" s="182"/>
      <c r="U5" s="182"/>
      <c r="AK5" s="182"/>
      <c r="AL5" s="182"/>
      <c r="AM5" s="182"/>
      <c r="AN5" s="182"/>
    </row>
    <row r="6" spans="1:63" ht="13.5" customHeight="1">
      <c r="A6" s="147"/>
      <c r="B6" s="165"/>
      <c r="C6" s="373" t="s">
        <v>760</v>
      </c>
      <c r="D6" s="165" t="s">
        <v>762</v>
      </c>
      <c r="E6" s="165"/>
      <c r="F6" s="151"/>
      <c r="G6" s="151"/>
      <c r="H6" s="648"/>
      <c r="I6" s="648"/>
      <c r="J6" s="648"/>
      <c r="K6" s="648"/>
      <c r="L6" s="648"/>
      <c r="M6" s="648"/>
      <c r="N6" s="648"/>
      <c r="O6" s="648"/>
      <c r="P6" s="648"/>
      <c r="Q6" s="648"/>
      <c r="R6" s="648"/>
      <c r="S6" s="146"/>
      <c r="T6" s="1" t="s">
        <v>443</v>
      </c>
      <c r="U6" s="5" t="s">
        <v>761</v>
      </c>
      <c r="AK6" s="182"/>
      <c r="AL6" s="182"/>
      <c r="AM6" s="182"/>
    </row>
    <row r="7" spans="1:63" ht="13.5" customHeight="1">
      <c r="A7" s="147"/>
      <c r="B7" s="165"/>
      <c r="C7" s="204" t="s">
        <v>444</v>
      </c>
      <c r="D7" s="165" t="s">
        <v>20</v>
      </c>
      <c r="E7" s="165"/>
      <c r="F7" s="165"/>
      <c r="G7" s="165"/>
      <c r="H7" s="165"/>
      <c r="I7" s="165"/>
      <c r="J7" s="165"/>
      <c r="K7" s="165"/>
      <c r="L7" s="151" t="s">
        <v>21</v>
      </c>
      <c r="M7" s="664">
        <f>IF($G$15=0,0,IF(ROUNDUP(L15/G15,2)&gt;0.9,0.9,ROUNDUP(L15/G15,2)))</f>
        <v>0</v>
      </c>
      <c r="N7" s="664"/>
      <c r="O7" s="165" t="s">
        <v>22</v>
      </c>
      <c r="P7" s="165"/>
      <c r="Q7" s="165"/>
      <c r="R7" s="165"/>
      <c r="S7" s="146"/>
      <c r="T7" s="1" t="s">
        <v>445</v>
      </c>
      <c r="U7" s="1" t="s">
        <v>368</v>
      </c>
      <c r="AK7" s="182"/>
      <c r="AL7" s="182"/>
      <c r="AM7" s="182"/>
      <c r="AN7" s="182"/>
    </row>
    <row r="8" spans="1:63" ht="13.5" customHeight="1">
      <c r="A8" s="147"/>
      <c r="B8" s="165"/>
      <c r="C8" s="204"/>
      <c r="D8" s="665" t="s">
        <v>23</v>
      </c>
      <c r="E8" s="666"/>
      <c r="F8" s="667"/>
      <c r="G8" s="665" t="s">
        <v>24</v>
      </c>
      <c r="H8" s="666"/>
      <c r="I8" s="667"/>
      <c r="J8" s="665" t="s">
        <v>25</v>
      </c>
      <c r="K8" s="666"/>
      <c r="L8" s="665" t="s">
        <v>26</v>
      </c>
      <c r="M8" s="667"/>
      <c r="N8" s="665" t="s">
        <v>27</v>
      </c>
      <c r="O8" s="666"/>
      <c r="P8" s="666"/>
      <c r="Q8" s="666"/>
      <c r="R8" s="667"/>
      <c r="S8" s="146"/>
      <c r="U8" s="1" t="s">
        <v>320</v>
      </c>
      <c r="AK8" s="182"/>
      <c r="AL8" s="182"/>
      <c r="AM8" s="182"/>
      <c r="AN8" s="182"/>
    </row>
    <row r="9" spans="1:63" ht="13.5" customHeight="1">
      <c r="A9" s="147"/>
      <c r="B9" s="165"/>
      <c r="C9" s="204"/>
      <c r="D9" s="624"/>
      <c r="E9" s="625"/>
      <c r="F9" s="626"/>
      <c r="G9" s="627"/>
      <c r="H9" s="628"/>
      <c r="I9" s="629"/>
      <c r="J9" s="630" t="str">
        <f>IF(D9="","",VLOOKUP(D9,$AL$11:$AN$19,2,FALSE))</f>
        <v/>
      </c>
      <c r="K9" s="631"/>
      <c r="L9" s="668" t="str">
        <f t="shared" ref="L9:L14" si="0">IF(D9="","",ROUND(G9*J9,2))</f>
        <v/>
      </c>
      <c r="M9" s="669"/>
      <c r="N9" s="634"/>
      <c r="O9" s="635"/>
      <c r="P9" s="635"/>
      <c r="Q9" s="635"/>
      <c r="R9" s="636"/>
      <c r="S9" s="146"/>
      <c r="U9" s="12" t="s">
        <v>346</v>
      </c>
      <c r="AK9" s="182"/>
      <c r="AL9" s="182"/>
      <c r="AM9" s="182"/>
      <c r="AN9" s="182"/>
    </row>
    <row r="10" spans="1:63" ht="13.5" customHeight="1">
      <c r="A10" s="147"/>
      <c r="B10" s="165"/>
      <c r="C10" s="204"/>
      <c r="D10" s="637"/>
      <c r="E10" s="638"/>
      <c r="F10" s="639"/>
      <c r="G10" s="640"/>
      <c r="H10" s="641"/>
      <c r="I10" s="642"/>
      <c r="J10" s="643" t="str">
        <f>IF(D10="","",VLOOKUP(D10,$AL$11:$AN$19,2,FALSE))</f>
        <v/>
      </c>
      <c r="K10" s="644"/>
      <c r="L10" s="650" t="str">
        <f t="shared" si="0"/>
        <v/>
      </c>
      <c r="M10" s="651"/>
      <c r="N10" s="647"/>
      <c r="O10" s="648"/>
      <c r="P10" s="648"/>
      <c r="Q10" s="648"/>
      <c r="R10" s="649"/>
      <c r="S10" s="146"/>
      <c r="T10" s="12"/>
      <c r="U10" s="1" t="s">
        <v>628</v>
      </c>
      <c r="AL10" s="1" t="s">
        <v>617</v>
      </c>
      <c r="AP10" s="1" t="s">
        <v>618</v>
      </c>
      <c r="AT10" s="19" t="s">
        <v>437</v>
      </c>
    </row>
    <row r="11" spans="1:63" ht="13.5" customHeight="1">
      <c r="A11" s="147"/>
      <c r="B11" s="165"/>
      <c r="C11" s="204"/>
      <c r="D11" s="637"/>
      <c r="E11" s="638"/>
      <c r="F11" s="639"/>
      <c r="G11" s="640"/>
      <c r="H11" s="641"/>
      <c r="I11" s="642"/>
      <c r="J11" s="643" t="str">
        <f>IF(D11="","",VLOOKUP(D11,$AL$11:$AN$19,2,FALSE))</f>
        <v/>
      </c>
      <c r="K11" s="644"/>
      <c r="L11" s="650" t="str">
        <f t="shared" si="0"/>
        <v/>
      </c>
      <c r="M11" s="651"/>
      <c r="N11" s="647"/>
      <c r="O11" s="648"/>
      <c r="P11" s="648"/>
      <c r="Q11" s="648"/>
      <c r="R11" s="649"/>
      <c r="S11" s="146"/>
      <c r="U11" s="1" t="s">
        <v>323</v>
      </c>
      <c r="AK11" s="107"/>
      <c r="AL11" s="11" t="s">
        <v>227</v>
      </c>
      <c r="AM11" s="11" t="s">
        <v>108</v>
      </c>
      <c r="AN11" s="300"/>
      <c r="AP11" s="11" t="s">
        <v>227</v>
      </c>
      <c r="AQ11" s="11" t="s">
        <v>108</v>
      </c>
      <c r="AR11" s="20"/>
      <c r="AT11" s="213" t="s">
        <v>283</v>
      </c>
      <c r="AU11" s="214" t="s">
        <v>284</v>
      </c>
      <c r="AV11" s="214" t="s">
        <v>285</v>
      </c>
      <c r="AW11" s="214" t="s">
        <v>286</v>
      </c>
      <c r="AX11" s="214" t="s">
        <v>287</v>
      </c>
      <c r="AY11" s="214" t="s">
        <v>288</v>
      </c>
      <c r="AZ11" s="214" t="s">
        <v>289</v>
      </c>
      <c r="BA11" s="214" t="s">
        <v>290</v>
      </c>
      <c r="BB11" s="214" t="s">
        <v>429</v>
      </c>
      <c r="BC11" s="214" t="s">
        <v>291</v>
      </c>
      <c r="BE11" s="1" t="str">
        <f>IF(COUNTIF($D$32,"*大型貯留槽*"),"大型貯留槽","不採用")</f>
        <v>不採用</v>
      </c>
      <c r="BH11" s="26" t="s">
        <v>292</v>
      </c>
      <c r="BI11" s="26" t="s">
        <v>293</v>
      </c>
      <c r="BJ11" s="26" t="s">
        <v>294</v>
      </c>
    </row>
    <row r="12" spans="1:63" ht="13.5" customHeight="1">
      <c r="A12" s="147"/>
      <c r="B12" s="165"/>
      <c r="C12" s="204"/>
      <c r="D12" s="637"/>
      <c r="E12" s="638"/>
      <c r="F12" s="639"/>
      <c r="G12" s="640"/>
      <c r="H12" s="641"/>
      <c r="I12" s="642"/>
      <c r="J12" s="643" t="str">
        <f>IF(D12="","",VLOOKUP(D12,$AL$11:$AN$19,2,FALSE))</f>
        <v/>
      </c>
      <c r="K12" s="644"/>
      <c r="L12" s="650" t="str">
        <f t="shared" si="0"/>
        <v/>
      </c>
      <c r="M12" s="651"/>
      <c r="N12" s="661"/>
      <c r="O12" s="662"/>
      <c r="P12" s="662"/>
      <c r="Q12" s="662"/>
      <c r="R12" s="663"/>
      <c r="S12" s="146"/>
      <c r="U12" s="1" t="s">
        <v>493</v>
      </c>
      <c r="AL12" s="11" t="s">
        <v>226</v>
      </c>
      <c r="AM12" s="301">
        <v>0.85</v>
      </c>
      <c r="AN12" s="302">
        <v>1</v>
      </c>
      <c r="AP12" s="11" t="str">
        <f>AL12</f>
        <v>道路</v>
      </c>
      <c r="AQ12" s="301">
        <f>IF(AM12-0.2&gt;0,AM12-0.2,0)</f>
        <v>0.64999999999999991</v>
      </c>
      <c r="AR12" s="301">
        <f>IF(AN12-0.2&gt;0,AN12-0.2,0)</f>
        <v>0.8</v>
      </c>
      <c r="AT12" s="215" t="s">
        <v>417</v>
      </c>
      <c r="AU12" s="216">
        <f t="shared" ref="AU12:AU21" si="1">$I$32</f>
        <v>0</v>
      </c>
      <c r="AV12" s="216">
        <f>$K$32</f>
        <v>0</v>
      </c>
      <c r="AW12" s="216">
        <f t="shared" ref="AW12:AW20" si="2">$AA$42</f>
        <v>0</v>
      </c>
      <c r="AX12" s="216">
        <f t="shared" ref="AX12:AX21" si="3">$O$32</f>
        <v>0</v>
      </c>
      <c r="AY12" s="217">
        <f>3.297*AX12+(1.971*AV12+4.663)</f>
        <v>4.6630000000000003</v>
      </c>
      <c r="AZ12" s="217">
        <f>(1.401*AV12+0.684)*AX12+(1.214*AV12-0.834)</f>
        <v>-0.83399999999999996</v>
      </c>
      <c r="BA12" s="218" t="s">
        <v>344</v>
      </c>
      <c r="BB12" s="218" t="s">
        <v>215</v>
      </c>
      <c r="BC12" s="217">
        <f>AY12*AU12+AZ12</f>
        <v>-0.83399999999999996</v>
      </c>
      <c r="BE12" s="207" t="s">
        <v>295</v>
      </c>
      <c r="BF12" s="207" t="s">
        <v>296</v>
      </c>
      <c r="BG12" s="23"/>
      <c r="BH12" s="1">
        <v>0</v>
      </c>
      <c r="BI12" s="1">
        <v>0</v>
      </c>
      <c r="BJ12" s="1">
        <v>0</v>
      </c>
    </row>
    <row r="13" spans="1:63" ht="13.5" customHeight="1">
      <c r="A13" s="147"/>
      <c r="B13" s="165"/>
      <c r="C13" s="204"/>
      <c r="D13" s="637"/>
      <c r="E13" s="638"/>
      <c r="F13" s="639"/>
      <c r="G13" s="640"/>
      <c r="H13" s="641"/>
      <c r="I13" s="642"/>
      <c r="J13" s="643" t="str">
        <f>IF(D13="","",VLOOKUP(D13,$AL$11:$AN$19,2,FALSE))</f>
        <v/>
      </c>
      <c r="K13" s="644"/>
      <c r="L13" s="650" t="str">
        <f t="shared" si="0"/>
        <v/>
      </c>
      <c r="M13" s="651"/>
      <c r="N13" s="661"/>
      <c r="O13" s="662"/>
      <c r="P13" s="662"/>
      <c r="Q13" s="662"/>
      <c r="R13" s="663"/>
      <c r="S13" s="146"/>
      <c r="AL13" s="11" t="s">
        <v>28</v>
      </c>
      <c r="AM13" s="301">
        <v>0.9</v>
      </c>
      <c r="AN13" s="302">
        <v>1</v>
      </c>
      <c r="AP13" s="11" t="str">
        <f t="shared" ref="AP13:AP20" si="4">AL13</f>
        <v>屋根</v>
      </c>
      <c r="AQ13" s="301">
        <f t="shared" ref="AQ13:AR20" si="5">IF(AM13-0.2&gt;0,AM13-0.2,0)</f>
        <v>0.7</v>
      </c>
      <c r="AR13" s="301">
        <f t="shared" si="5"/>
        <v>0.8</v>
      </c>
      <c r="AT13" s="215" t="s">
        <v>418</v>
      </c>
      <c r="AU13" s="216">
        <f t="shared" si="1"/>
        <v>0</v>
      </c>
      <c r="AV13" s="216">
        <f>$K$32</f>
        <v>0</v>
      </c>
      <c r="AW13" s="216">
        <f t="shared" si="2"/>
        <v>0</v>
      </c>
      <c r="AX13" s="216">
        <f t="shared" si="3"/>
        <v>0</v>
      </c>
      <c r="AY13" s="217">
        <f>3.297*AX13+(1.971*AV13+4.663)</f>
        <v>4.6630000000000003</v>
      </c>
      <c r="AZ13" s="217">
        <f>(1.401*AV13+0.684)*AX13+(1.214*AV13-0.834)</f>
        <v>-0.83399999999999996</v>
      </c>
      <c r="BA13" s="218" t="s">
        <v>344</v>
      </c>
      <c r="BB13" s="218" t="e">
        <f>AU13/(AU13+AV13)</f>
        <v>#DIV/0!</v>
      </c>
      <c r="BC13" s="217" t="e">
        <f>(AY13*AU13+AZ13)*BB13</f>
        <v>#DIV/0!</v>
      </c>
      <c r="BE13" s="255">
        <f>VLOOKUP(ROUNDUP(BE14,-1),$BH$12:$BJ$17,2,1)</f>
        <v>0</v>
      </c>
      <c r="BF13" s="255" t="b">
        <f>IF(COUNTIF(BE11,"*大型貯留槽*"),VLOOKUP(BE13,AV14:BC17,8,FALSE))</f>
        <v>0</v>
      </c>
      <c r="BG13" s="256"/>
      <c r="BH13" s="1">
        <v>10</v>
      </c>
      <c r="BI13" s="1">
        <v>5</v>
      </c>
      <c r="BJ13" s="1">
        <v>10</v>
      </c>
    </row>
    <row r="14" spans="1:63" ht="13.5" customHeight="1">
      <c r="A14" s="147"/>
      <c r="B14" s="165"/>
      <c r="C14" s="204"/>
      <c r="D14" s="637"/>
      <c r="E14" s="638"/>
      <c r="F14" s="639"/>
      <c r="G14" s="640"/>
      <c r="H14" s="641"/>
      <c r="I14" s="642"/>
      <c r="J14" s="606" t="str">
        <f>IF(D14="","",VLOOKUP(D14,$AL$11:$AN$19,2,FALSE))</f>
        <v/>
      </c>
      <c r="K14" s="607"/>
      <c r="L14" s="650" t="str">
        <f t="shared" si="0"/>
        <v/>
      </c>
      <c r="M14" s="651"/>
      <c r="N14" s="647"/>
      <c r="O14" s="648"/>
      <c r="P14" s="648"/>
      <c r="Q14" s="648"/>
      <c r="R14" s="649"/>
      <c r="S14" s="146"/>
      <c r="AL14" s="11" t="s">
        <v>29</v>
      </c>
      <c r="AM14" s="301">
        <v>0.8</v>
      </c>
      <c r="AN14" s="302">
        <v>1</v>
      </c>
      <c r="AP14" s="11" t="str">
        <f t="shared" si="4"/>
        <v>その他の不透面</v>
      </c>
      <c r="AQ14" s="301">
        <f t="shared" si="5"/>
        <v>0.60000000000000009</v>
      </c>
      <c r="AR14" s="301">
        <f t="shared" si="5"/>
        <v>0.8</v>
      </c>
      <c r="AT14" s="257" t="s">
        <v>426</v>
      </c>
      <c r="AU14" s="258">
        <f t="shared" si="1"/>
        <v>0</v>
      </c>
      <c r="AV14" s="258">
        <v>5</v>
      </c>
      <c r="AW14" s="258">
        <f t="shared" si="2"/>
        <v>0</v>
      </c>
      <c r="AX14" s="258">
        <f t="shared" si="3"/>
        <v>0</v>
      </c>
      <c r="AY14" s="259" t="e">
        <f>8.83*(AX14/AV14)^(-0.461)</f>
        <v>#DIV/0!</v>
      </c>
      <c r="AZ14" s="259">
        <v>7.03</v>
      </c>
      <c r="BA14" s="218" t="s">
        <v>215</v>
      </c>
      <c r="BB14" s="218" t="s">
        <v>215</v>
      </c>
      <c r="BC14" s="259" t="e">
        <f t="shared" ref="BC14:BC21" si="6">(AY14*AU14+AZ14)*AX14</f>
        <v>#DIV/0!</v>
      </c>
      <c r="BE14" s="24">
        <f>$K$32</f>
        <v>0</v>
      </c>
      <c r="BF14" s="24" t="e">
        <f>ROUND((BF15-BF13)/(BE15-BE13)*(BE14-BE13)+BF13,3)</f>
        <v>#DIV/0!</v>
      </c>
      <c r="BG14" s="25"/>
      <c r="BH14" s="1">
        <v>20</v>
      </c>
      <c r="BI14" s="1">
        <v>10</v>
      </c>
      <c r="BJ14" s="1">
        <v>20</v>
      </c>
    </row>
    <row r="15" spans="1:63" ht="13.5" customHeight="1">
      <c r="A15" s="147"/>
      <c r="B15" s="165"/>
      <c r="C15" s="204"/>
      <c r="D15" s="613" t="s">
        <v>30</v>
      </c>
      <c r="E15" s="614"/>
      <c r="F15" s="615"/>
      <c r="G15" s="616">
        <f>ROUND(SUM(G9:I14),1)</f>
        <v>0</v>
      </c>
      <c r="H15" s="617"/>
      <c r="I15" s="617"/>
      <c r="J15" s="174"/>
      <c r="K15" s="135"/>
      <c r="L15" s="656">
        <f>SUM(L9:M14)</f>
        <v>0</v>
      </c>
      <c r="M15" s="657"/>
      <c r="N15" s="658"/>
      <c r="O15" s="659"/>
      <c r="P15" s="659"/>
      <c r="Q15" s="659"/>
      <c r="R15" s="660"/>
      <c r="S15" s="146"/>
      <c r="AL15" s="11" t="s">
        <v>255</v>
      </c>
      <c r="AM15" s="301">
        <v>1</v>
      </c>
      <c r="AN15" s="302">
        <v>1</v>
      </c>
      <c r="AP15" s="11" t="str">
        <f t="shared" si="4"/>
        <v>水面</v>
      </c>
      <c r="AQ15" s="301">
        <f t="shared" si="5"/>
        <v>0.8</v>
      </c>
      <c r="AR15" s="301">
        <f t="shared" si="5"/>
        <v>0.8</v>
      </c>
      <c r="AT15" s="304" t="s">
        <v>427</v>
      </c>
      <c r="AU15" s="216">
        <f t="shared" si="1"/>
        <v>0</v>
      </c>
      <c r="AV15" s="216">
        <v>10</v>
      </c>
      <c r="AW15" s="216">
        <f t="shared" si="2"/>
        <v>0</v>
      </c>
      <c r="AX15" s="216">
        <f t="shared" si="3"/>
        <v>0</v>
      </c>
      <c r="AY15" s="217" t="e">
        <f>7.88*(AX15/AV15)^(-0.446)</f>
        <v>#DIV/0!</v>
      </c>
      <c r="AZ15" s="217">
        <v>14</v>
      </c>
      <c r="BA15" s="218" t="s">
        <v>215</v>
      </c>
      <c r="BB15" s="218" t="s">
        <v>215</v>
      </c>
      <c r="BC15" s="217" t="e">
        <f t="shared" si="6"/>
        <v>#DIV/0!</v>
      </c>
      <c r="BE15" s="24">
        <f>VLOOKUP(ROUNDUP(BE14,-1),$BH$12:$BJ$17,3,1)</f>
        <v>0</v>
      </c>
      <c r="BF15" s="24" t="b">
        <f>IF(COUNTIF(BE11,"*大型貯留槽*"),VLOOKUP(BE15,AV14:BC17,8,FALSE))</f>
        <v>0</v>
      </c>
      <c r="BG15" s="25"/>
      <c r="BH15" s="1">
        <v>30</v>
      </c>
      <c r="BI15" s="1">
        <v>20</v>
      </c>
      <c r="BJ15" s="1">
        <v>30</v>
      </c>
    </row>
    <row r="16" spans="1:63" ht="13.5" customHeight="1">
      <c r="A16" s="147"/>
      <c r="B16" s="165"/>
      <c r="C16" s="204" t="s">
        <v>355</v>
      </c>
      <c r="D16" s="165" t="s">
        <v>31</v>
      </c>
      <c r="E16" s="165"/>
      <c r="F16" s="165"/>
      <c r="G16" s="165"/>
      <c r="H16" s="165"/>
      <c r="I16" s="165"/>
      <c r="J16" s="165"/>
      <c r="K16" s="165"/>
      <c r="L16" s="151" t="s">
        <v>21</v>
      </c>
      <c r="M16" s="652">
        <f>IF(G21&gt;0,ROUNDUP(L21/G21,2),0)</f>
        <v>0</v>
      </c>
      <c r="N16" s="652"/>
      <c r="O16" s="165" t="s">
        <v>22</v>
      </c>
      <c r="P16" s="151"/>
      <c r="Q16" s="165"/>
      <c r="R16" s="165"/>
      <c r="S16" s="146"/>
      <c r="T16" s="1" t="s">
        <v>361</v>
      </c>
      <c r="U16" s="1" t="s">
        <v>367</v>
      </c>
      <c r="AL16" s="11" t="s">
        <v>216</v>
      </c>
      <c r="AM16" s="301">
        <v>0.2</v>
      </c>
      <c r="AN16" s="302">
        <v>0.6</v>
      </c>
      <c r="AO16" s="12"/>
      <c r="AP16" s="11" t="str">
        <f t="shared" si="4"/>
        <v>間地</v>
      </c>
      <c r="AQ16" s="301">
        <f t="shared" si="5"/>
        <v>0</v>
      </c>
      <c r="AR16" s="301">
        <f t="shared" si="5"/>
        <v>0.39999999999999997</v>
      </c>
      <c r="AS16" s="5"/>
      <c r="AT16" s="304" t="s">
        <v>428</v>
      </c>
      <c r="AU16" s="216">
        <f t="shared" si="1"/>
        <v>0</v>
      </c>
      <c r="AV16" s="216">
        <v>20</v>
      </c>
      <c r="AW16" s="216">
        <f t="shared" si="2"/>
        <v>0</v>
      </c>
      <c r="AX16" s="216">
        <f t="shared" si="3"/>
        <v>0</v>
      </c>
      <c r="AY16" s="217" t="e">
        <f>7.06*(AX16/AV16)^(-0.452)</f>
        <v>#DIV/0!</v>
      </c>
      <c r="AZ16" s="217">
        <v>27.06</v>
      </c>
      <c r="BA16" s="218" t="s">
        <v>215</v>
      </c>
      <c r="BB16" s="218" t="s">
        <v>215</v>
      </c>
      <c r="BC16" s="217" t="e">
        <f t="shared" si="6"/>
        <v>#DIV/0!</v>
      </c>
      <c r="BH16" s="1">
        <v>40</v>
      </c>
      <c r="BI16" s="1">
        <v>30</v>
      </c>
      <c r="BJ16" s="1">
        <v>40</v>
      </c>
    </row>
    <row r="17" spans="1:62" ht="13.5" customHeight="1">
      <c r="A17" s="147"/>
      <c r="B17" s="165"/>
      <c r="C17" s="165"/>
      <c r="D17" s="621" t="s">
        <v>23</v>
      </c>
      <c r="E17" s="622"/>
      <c r="F17" s="623"/>
      <c r="G17" s="653" t="s">
        <v>32</v>
      </c>
      <c r="H17" s="654"/>
      <c r="I17" s="655"/>
      <c r="J17" s="621" t="s">
        <v>25</v>
      </c>
      <c r="K17" s="623"/>
      <c r="L17" s="621" t="s">
        <v>26</v>
      </c>
      <c r="M17" s="623"/>
      <c r="N17" s="621" t="s">
        <v>27</v>
      </c>
      <c r="O17" s="622"/>
      <c r="P17" s="622"/>
      <c r="Q17" s="622"/>
      <c r="R17" s="623"/>
      <c r="S17" s="146"/>
      <c r="U17" s="1" t="s">
        <v>324</v>
      </c>
      <c r="AL17" s="11" t="s">
        <v>263</v>
      </c>
      <c r="AM17" s="301">
        <v>0.15</v>
      </c>
      <c r="AN17" s="302">
        <v>0.6</v>
      </c>
      <c r="AO17" s="12"/>
      <c r="AP17" s="11" t="str">
        <f>AL17</f>
        <v>公園（緑地）</v>
      </c>
      <c r="AQ17" s="301">
        <f>IF(AM17-0.2&gt;0,AM17-0.2,0)</f>
        <v>0</v>
      </c>
      <c r="AR17" s="301">
        <f>IF(AN17-0.2&gt;0,AN17-0.2,0)</f>
        <v>0.39999999999999997</v>
      </c>
      <c r="AS17" s="5"/>
      <c r="AT17" s="304" t="s">
        <v>788</v>
      </c>
      <c r="AU17" s="216">
        <f t="shared" si="1"/>
        <v>0</v>
      </c>
      <c r="AV17" s="216">
        <v>30</v>
      </c>
      <c r="AW17" s="216"/>
      <c r="AX17" s="216">
        <f t="shared" si="3"/>
        <v>0</v>
      </c>
      <c r="AY17" s="217" t="e">
        <f>6.43*(AX16/AV16)^(-0.444)</f>
        <v>#DIV/0!</v>
      </c>
      <c r="AZ17" s="217">
        <v>39.75</v>
      </c>
      <c r="BA17" s="218" t="s">
        <v>789</v>
      </c>
      <c r="BB17" s="218" t="s">
        <v>789</v>
      </c>
      <c r="BC17" s="217" t="e">
        <f t="shared" si="6"/>
        <v>#DIV/0!</v>
      </c>
      <c r="BH17" s="1">
        <v>50</v>
      </c>
      <c r="BI17" s="1">
        <v>40</v>
      </c>
      <c r="BJ17" s="1">
        <v>50</v>
      </c>
    </row>
    <row r="18" spans="1:62" ht="13.5" customHeight="1">
      <c r="A18" s="147"/>
      <c r="B18" s="165"/>
      <c r="C18" s="165"/>
      <c r="D18" s="624"/>
      <c r="E18" s="625"/>
      <c r="F18" s="626"/>
      <c r="G18" s="627"/>
      <c r="H18" s="628"/>
      <c r="I18" s="629"/>
      <c r="J18" s="630" t="str">
        <f>IF(D18="","",VLOOKUP(D18,$AP$11:$AR$19,2,FALSE))</f>
        <v/>
      </c>
      <c r="K18" s="631"/>
      <c r="L18" s="632" t="str">
        <f>IF(D18="","",ROUND(G18*J18,2))</f>
        <v/>
      </c>
      <c r="M18" s="633"/>
      <c r="N18" s="634"/>
      <c r="O18" s="635"/>
      <c r="P18" s="635"/>
      <c r="Q18" s="635"/>
      <c r="R18" s="636"/>
      <c r="S18" s="146"/>
      <c r="U18" s="1" t="s">
        <v>325</v>
      </c>
      <c r="AL18" s="20" t="s">
        <v>512</v>
      </c>
      <c r="AM18" s="302">
        <v>0.3</v>
      </c>
      <c r="AN18" s="302">
        <v>0.6</v>
      </c>
      <c r="AO18" s="171"/>
      <c r="AP18" s="11" t="str">
        <f>AL18</f>
        <v>勾配の緩い山地</v>
      </c>
      <c r="AQ18" s="301">
        <f>IF(AM18-0.2&gt;0,AM18-0.2,0)</f>
        <v>9.9999999999999978E-2</v>
      </c>
      <c r="AR18" s="301">
        <f>IF(AN18-0.2&gt;0,AN18-0.2,0)</f>
        <v>0.39999999999999997</v>
      </c>
      <c r="AS18" s="291"/>
      <c r="AT18" s="305" t="s">
        <v>430</v>
      </c>
      <c r="AU18" s="258">
        <f t="shared" si="1"/>
        <v>0</v>
      </c>
      <c r="AV18" s="258">
        <v>5</v>
      </c>
      <c r="AW18" s="258">
        <f t="shared" si="2"/>
        <v>0</v>
      </c>
      <c r="AX18" s="258">
        <f t="shared" si="3"/>
        <v>0</v>
      </c>
      <c r="AY18" s="259" t="e">
        <f>1.94*(AX18/AV18)^(-0.328)</f>
        <v>#DIV/0!</v>
      </c>
      <c r="AZ18" s="259">
        <v>7.57</v>
      </c>
      <c r="BA18" s="218" t="s">
        <v>215</v>
      </c>
      <c r="BB18" s="218" t="s">
        <v>215</v>
      </c>
      <c r="BC18" s="259" t="e">
        <f>(AY18*AU18+AZ18)*AX18</f>
        <v>#DIV/0!</v>
      </c>
      <c r="BE18" s="255">
        <f>VLOOKUP(ROUNDUP(BE19,-1),$BH$12:$BJ$17,2,1)</f>
        <v>0</v>
      </c>
      <c r="BF18" s="255" t="b">
        <f>IF(COUNTIF(BE11,"*大型貯留槽*"),VLOOKUP(BE18,AV18:BC21,8,FALSE))</f>
        <v>0</v>
      </c>
    </row>
    <row r="19" spans="1:62" ht="13.5" customHeight="1">
      <c r="A19" s="147"/>
      <c r="B19" s="165"/>
      <c r="C19" s="165"/>
      <c r="D19" s="637"/>
      <c r="E19" s="638"/>
      <c r="F19" s="639"/>
      <c r="G19" s="640"/>
      <c r="H19" s="641"/>
      <c r="I19" s="642"/>
      <c r="J19" s="643" t="str">
        <f>IF(D19="","",VLOOKUP(D19,$AP$11:$AR$19,2,FALSE))</f>
        <v/>
      </c>
      <c r="K19" s="790"/>
      <c r="L19" s="645" t="str">
        <f>IF(D19="","",ROUND(G19*J19,2))</f>
        <v/>
      </c>
      <c r="M19" s="646"/>
      <c r="N19" s="647"/>
      <c r="O19" s="648"/>
      <c r="P19" s="648"/>
      <c r="Q19" s="648"/>
      <c r="R19" s="649"/>
      <c r="S19" s="146"/>
      <c r="U19" s="1" t="s">
        <v>326</v>
      </c>
      <c r="AL19" s="20" t="s">
        <v>513</v>
      </c>
      <c r="AM19" s="302">
        <v>0.5</v>
      </c>
      <c r="AN19" s="302">
        <v>0.6</v>
      </c>
      <c r="AO19" s="12"/>
      <c r="AP19" s="11" t="str">
        <f>AL19</f>
        <v>勾配の急な山地</v>
      </c>
      <c r="AQ19" s="301">
        <f>IF(AM19-0.2&gt;0,AM19-0.2,0)</f>
        <v>0.3</v>
      </c>
      <c r="AR19" s="301">
        <f>IF(AN19-0.2&gt;0,AN19-0.2,0)</f>
        <v>0.39999999999999997</v>
      </c>
      <c r="AS19" s="292"/>
      <c r="AT19" s="304" t="s">
        <v>431</v>
      </c>
      <c r="AU19" s="216">
        <f t="shared" si="1"/>
        <v>0</v>
      </c>
      <c r="AV19" s="216">
        <v>10</v>
      </c>
      <c r="AW19" s="216">
        <f t="shared" si="2"/>
        <v>0</v>
      </c>
      <c r="AX19" s="216">
        <f t="shared" si="3"/>
        <v>0</v>
      </c>
      <c r="AY19" s="217" t="e">
        <f>2.29*(AX19/AV19)^(-0.397)</f>
        <v>#DIV/0!</v>
      </c>
      <c r="AZ19" s="217">
        <v>13.84</v>
      </c>
      <c r="BA19" s="218" t="s">
        <v>215</v>
      </c>
      <c r="BB19" s="218" t="s">
        <v>215</v>
      </c>
      <c r="BC19" s="217" t="e">
        <f t="shared" si="6"/>
        <v>#DIV/0!</v>
      </c>
      <c r="BE19" s="24">
        <f>$K$32</f>
        <v>0</v>
      </c>
      <c r="BF19" s="24" t="e">
        <f>ROUND((BF20-BF18)/(BE20-BE18)*(BE19-BE18)+BF18,3)</f>
        <v>#DIV/0!</v>
      </c>
    </row>
    <row r="20" spans="1:62" ht="13.5" customHeight="1">
      <c r="A20" s="147"/>
      <c r="B20" s="165"/>
      <c r="C20" s="165"/>
      <c r="D20" s="600"/>
      <c r="E20" s="601"/>
      <c r="F20" s="602"/>
      <c r="G20" s="603"/>
      <c r="H20" s="604"/>
      <c r="I20" s="605"/>
      <c r="J20" s="606" t="str">
        <f>IF(D20="","",VLOOKUP(D20,$AP$11:$AR$19,2,FALSE))</f>
        <v/>
      </c>
      <c r="K20" s="664"/>
      <c r="L20" s="608" t="str">
        <f>IF(D20="","",ROUND(G20*J20,2))</f>
        <v/>
      </c>
      <c r="M20" s="609"/>
      <c r="N20" s="610"/>
      <c r="O20" s="611"/>
      <c r="P20" s="611"/>
      <c r="Q20" s="611"/>
      <c r="R20" s="612"/>
      <c r="S20" s="146"/>
      <c r="T20" s="180"/>
      <c r="U20" s="180" t="s">
        <v>33</v>
      </c>
      <c r="AO20" s="12"/>
      <c r="AS20" s="292"/>
      <c r="AT20" s="304" t="s">
        <v>432</v>
      </c>
      <c r="AU20" s="216">
        <f t="shared" si="1"/>
        <v>0</v>
      </c>
      <c r="AV20" s="216">
        <v>20</v>
      </c>
      <c r="AW20" s="216">
        <f t="shared" si="2"/>
        <v>0</v>
      </c>
      <c r="AX20" s="216">
        <f t="shared" si="3"/>
        <v>0</v>
      </c>
      <c r="AY20" s="217" t="e">
        <f>2.37*(AX20/AV20)^(-0.488)</f>
        <v>#DIV/0!</v>
      </c>
      <c r="AZ20" s="217">
        <v>26.36</v>
      </c>
      <c r="BA20" s="218" t="s">
        <v>215</v>
      </c>
      <c r="BB20" s="218" t="s">
        <v>215</v>
      </c>
      <c r="BC20" s="217" t="e">
        <f t="shared" si="6"/>
        <v>#DIV/0!</v>
      </c>
      <c r="BE20" s="24">
        <f>VLOOKUP(ROUNDUP(BE19,-1),$BH$12:$BJ$17,3,1)</f>
        <v>0</v>
      </c>
      <c r="BF20" s="24" t="b">
        <f>IF(COUNTIF(BE11,"*大型貯留槽*"),VLOOKUP(BE20,AV18:BC21,8,FALSE))</f>
        <v>0</v>
      </c>
    </row>
    <row r="21" spans="1:62" ht="13.5" customHeight="1">
      <c r="A21" s="147"/>
      <c r="B21" s="165"/>
      <c r="C21" s="165"/>
      <c r="D21" s="613" t="s">
        <v>30</v>
      </c>
      <c r="E21" s="614"/>
      <c r="F21" s="615"/>
      <c r="G21" s="616">
        <f>SUM(G18:I20)</f>
        <v>0</v>
      </c>
      <c r="H21" s="617"/>
      <c r="I21" s="618"/>
      <c r="J21" s="613"/>
      <c r="K21" s="615"/>
      <c r="L21" s="619">
        <f>SUM(L18:M20)</f>
        <v>0</v>
      </c>
      <c r="M21" s="620"/>
      <c r="N21" s="621"/>
      <c r="O21" s="622"/>
      <c r="P21" s="622"/>
      <c r="Q21" s="622"/>
      <c r="R21" s="623"/>
      <c r="S21" s="146"/>
      <c r="T21" s="181"/>
      <c r="U21" s="181" t="s">
        <v>34</v>
      </c>
      <c r="AL21" s="6"/>
      <c r="AM21" s="966"/>
      <c r="AN21" s="966"/>
      <c r="AO21" s="12"/>
      <c r="AP21" s="12"/>
      <c r="AQ21" s="967"/>
      <c r="AR21" s="967"/>
      <c r="AS21" s="292"/>
      <c r="AT21" s="304" t="s">
        <v>790</v>
      </c>
      <c r="AU21" s="216">
        <f t="shared" si="1"/>
        <v>0</v>
      </c>
      <c r="AV21" s="216">
        <v>30</v>
      </c>
      <c r="AW21" s="216"/>
      <c r="AX21" s="216">
        <f t="shared" si="3"/>
        <v>0</v>
      </c>
      <c r="AY21" s="217" t="e">
        <f>2.17*(AX20/AV20)^(-0.518)</f>
        <v>#DIV/0!</v>
      </c>
      <c r="AZ21" s="217">
        <v>38.79</v>
      </c>
      <c r="BA21" s="218" t="s">
        <v>789</v>
      </c>
      <c r="BB21" s="218" t="s">
        <v>789</v>
      </c>
      <c r="BC21" s="217" t="e">
        <f t="shared" si="6"/>
        <v>#DIV/0!</v>
      </c>
      <c r="BE21" s="968"/>
      <c r="BF21" s="968"/>
    </row>
    <row r="22" spans="1:62" ht="13.5" customHeight="1">
      <c r="A22" s="147"/>
      <c r="B22" s="165"/>
      <c r="C22" s="165"/>
      <c r="D22" s="165"/>
      <c r="E22" s="165"/>
      <c r="F22" s="165"/>
      <c r="G22" s="165"/>
      <c r="H22" s="165"/>
      <c r="I22" s="165"/>
      <c r="J22" s="165"/>
      <c r="K22" s="165"/>
      <c r="L22" s="165"/>
      <c r="M22" s="165"/>
      <c r="N22" s="165"/>
      <c r="O22" s="165"/>
      <c r="P22" s="165"/>
      <c r="Q22" s="165"/>
      <c r="R22" s="165"/>
      <c r="S22" s="146"/>
      <c r="T22" s="181"/>
      <c r="U22" s="181" t="s">
        <v>436</v>
      </c>
      <c r="AO22" s="12"/>
      <c r="AP22" s="292"/>
      <c r="AQ22" s="293"/>
      <c r="AR22" s="293"/>
      <c r="AS22" s="293"/>
      <c r="AT22" s="221" t="s">
        <v>691</v>
      </c>
      <c r="AU22" s="222">
        <f>$I$33</f>
        <v>0.6</v>
      </c>
      <c r="AV22" s="222">
        <f>$K$33</f>
        <v>0.45</v>
      </c>
      <c r="AW22" s="222">
        <f>$M$33</f>
        <v>0.15</v>
      </c>
      <c r="AX22" s="222">
        <f>$O$33</f>
        <v>0</v>
      </c>
      <c r="AY22" s="223">
        <v>3.093</v>
      </c>
      <c r="AZ22" s="223">
        <f>1.34*AV22+0.677</f>
        <v>1.2800000000000002</v>
      </c>
      <c r="BA22" s="224" t="s">
        <v>215</v>
      </c>
      <c r="BB22" s="224"/>
      <c r="BC22" s="223">
        <f>AY22*AU22+AZ22</f>
        <v>3.1358000000000001</v>
      </c>
    </row>
    <row r="23" spans="1:62" ht="13.5" customHeight="1">
      <c r="A23" s="147"/>
      <c r="B23" s="165">
        <v>2</v>
      </c>
      <c r="C23" s="167" t="s">
        <v>44</v>
      </c>
      <c r="D23" s="165"/>
      <c r="E23" s="165"/>
      <c r="F23" s="165"/>
      <c r="G23" s="165"/>
      <c r="H23" s="165"/>
      <c r="I23" s="165"/>
      <c r="J23" s="165"/>
      <c r="K23" s="165"/>
      <c r="L23" s="165"/>
      <c r="M23" s="165"/>
      <c r="N23" s="165"/>
      <c r="O23" s="165"/>
      <c r="P23" s="165"/>
      <c r="Q23" s="165"/>
      <c r="R23" s="165"/>
      <c r="S23" s="146"/>
      <c r="AL23" s="9"/>
      <c r="AM23" s="10"/>
      <c r="AO23" s="12"/>
      <c r="AT23" s="221" t="s">
        <v>692</v>
      </c>
      <c r="AU23" s="222">
        <f>$I$34</f>
        <v>0.7</v>
      </c>
      <c r="AV23" s="222">
        <f>$K$34</f>
        <v>0.7</v>
      </c>
      <c r="AW23" s="222">
        <f>$M$34</f>
        <v>0.3</v>
      </c>
      <c r="AX23" s="222" t="str">
        <f>$O$34</f>
        <v>-</v>
      </c>
      <c r="AY23" s="223">
        <f>0.12*AV23+0.985</f>
        <v>1.069</v>
      </c>
      <c r="AZ23" s="223">
        <f>7.837*AV23+0.82</f>
        <v>6.3058999999999994</v>
      </c>
      <c r="BA23" s="223">
        <f>2.858*AV23-0.283</f>
        <v>1.7176</v>
      </c>
      <c r="BB23" s="223"/>
      <c r="BC23" s="223">
        <f>AY23*AU23^2+AZ23*AU23+BA23</f>
        <v>6.6555399999999993</v>
      </c>
    </row>
    <row r="24" spans="1:62" ht="13.5" customHeight="1">
      <c r="A24" s="147"/>
      <c r="B24" s="165"/>
      <c r="C24" s="204" t="s">
        <v>356</v>
      </c>
      <c r="D24" s="165" t="s">
        <v>730</v>
      </c>
      <c r="E24" s="165"/>
      <c r="F24" s="165"/>
      <c r="G24" s="165"/>
      <c r="H24" s="165"/>
      <c r="I24" s="165"/>
      <c r="J24" s="151" t="s">
        <v>45</v>
      </c>
      <c r="K24" s="579">
        <v>0.9</v>
      </c>
      <c r="L24" s="579"/>
      <c r="M24" s="579"/>
      <c r="N24" s="165"/>
      <c r="O24" s="165"/>
      <c r="P24" s="166"/>
      <c r="Q24" s="165"/>
      <c r="R24" s="165"/>
      <c r="S24" s="146"/>
      <c r="T24" s="1" t="s">
        <v>319</v>
      </c>
      <c r="U24" s="1" t="s">
        <v>732</v>
      </c>
      <c r="AK24" s="107"/>
      <c r="AL24" s="209" t="s">
        <v>264</v>
      </c>
      <c r="AM24" s="210">
        <v>0.25</v>
      </c>
      <c r="AN24" s="110"/>
      <c r="AO24" s="12"/>
    </row>
    <row r="25" spans="1:62" ht="13.5" customHeight="1">
      <c r="A25" s="147"/>
      <c r="B25" s="165"/>
      <c r="C25" s="373" t="s">
        <v>357</v>
      </c>
      <c r="D25" s="165" t="s">
        <v>693</v>
      </c>
      <c r="E25" s="165"/>
      <c r="F25" s="165"/>
      <c r="G25" s="165"/>
      <c r="H25" s="165"/>
      <c r="I25" s="165"/>
      <c r="J25" s="151" t="s">
        <v>45</v>
      </c>
      <c r="K25" s="579">
        <v>0.3</v>
      </c>
      <c r="L25" s="579"/>
      <c r="M25" s="579"/>
      <c r="N25" s="165"/>
      <c r="O25" s="165"/>
      <c r="P25" s="165"/>
      <c r="Q25" s="165"/>
      <c r="R25" s="165"/>
      <c r="S25" s="146"/>
      <c r="T25" s="1" t="s">
        <v>327</v>
      </c>
      <c r="U25" s="1" t="s">
        <v>733</v>
      </c>
      <c r="AL25" s="209" t="s">
        <v>265</v>
      </c>
      <c r="AM25" s="210">
        <v>0.3</v>
      </c>
      <c r="AO25" s="12"/>
      <c r="AT25" s="114" t="s">
        <v>686</v>
      </c>
      <c r="BA25" s="114" t="s">
        <v>687</v>
      </c>
    </row>
    <row r="26" spans="1:62" ht="13.5" customHeight="1">
      <c r="A26" s="147"/>
      <c r="B26" s="165"/>
      <c r="C26" s="204" t="s">
        <v>358</v>
      </c>
      <c r="D26" s="167" t="s">
        <v>46</v>
      </c>
      <c r="E26" s="167"/>
      <c r="F26" s="167"/>
      <c r="G26" s="167"/>
      <c r="H26" s="167"/>
      <c r="I26" s="167"/>
      <c r="J26" s="152" t="s">
        <v>47</v>
      </c>
      <c r="K26" s="791">
        <v>0.02</v>
      </c>
      <c r="L26" s="791"/>
      <c r="M26" s="791"/>
      <c r="N26" s="167"/>
      <c r="O26" s="204"/>
      <c r="P26" s="204"/>
      <c r="Q26" s="204"/>
      <c r="R26" s="151"/>
      <c r="S26" s="146"/>
      <c r="T26" s="1" t="s">
        <v>330</v>
      </c>
      <c r="U26" s="1" t="s">
        <v>755</v>
      </c>
      <c r="AL26" s="209" t="s">
        <v>266</v>
      </c>
      <c r="AM26" s="210">
        <v>0.35</v>
      </c>
      <c r="AO26" s="12"/>
      <c r="AT26" s="580" t="s">
        <v>688</v>
      </c>
      <c r="AU26" s="580"/>
      <c r="AV26" s="580" t="s">
        <v>689</v>
      </c>
      <c r="AW26" s="580"/>
      <c r="AX26" s="580" t="s">
        <v>690</v>
      </c>
      <c r="AY26" s="580"/>
      <c r="BA26" s="580" t="s">
        <v>688</v>
      </c>
      <c r="BB26" s="580"/>
      <c r="BC26" s="580" t="s">
        <v>689</v>
      </c>
      <c r="BD26" s="580"/>
      <c r="BE26" s="580" t="s">
        <v>690</v>
      </c>
      <c r="BF26" s="580"/>
    </row>
    <row r="27" spans="1:62" ht="13.5" customHeight="1">
      <c r="A27" s="147"/>
      <c r="B27" s="165"/>
      <c r="C27" s="204" t="s">
        <v>359</v>
      </c>
      <c r="D27" s="167" t="s">
        <v>48</v>
      </c>
      <c r="E27" s="167"/>
      <c r="F27" s="167"/>
      <c r="G27" s="167"/>
      <c r="H27" s="167"/>
      <c r="I27" s="167"/>
      <c r="J27" s="152" t="s">
        <v>49</v>
      </c>
      <c r="K27" s="792" t="s">
        <v>797</v>
      </c>
      <c r="L27" s="792"/>
      <c r="M27" s="792"/>
      <c r="N27" s="167"/>
      <c r="O27" s="327"/>
      <c r="P27" s="327"/>
      <c r="Q27" s="327"/>
      <c r="R27" s="327"/>
      <c r="S27" s="146"/>
      <c r="T27" s="1" t="s">
        <v>332</v>
      </c>
      <c r="U27" s="1" t="s">
        <v>334</v>
      </c>
      <c r="AL27" s="209" t="s">
        <v>267</v>
      </c>
      <c r="AM27" s="210">
        <v>0.4</v>
      </c>
      <c r="AO27" s="171"/>
      <c r="AT27" s="938">
        <v>0.1</v>
      </c>
      <c r="AU27" s="938"/>
      <c r="AV27" s="930">
        <v>0.45</v>
      </c>
      <c r="AW27" s="930"/>
      <c r="AX27" s="930">
        <v>0.4</v>
      </c>
      <c r="AY27" s="930"/>
      <c r="BA27" s="938">
        <v>0.15</v>
      </c>
      <c r="BB27" s="938"/>
      <c r="BC27" s="930">
        <v>0.5</v>
      </c>
      <c r="BD27" s="930"/>
      <c r="BE27" s="930">
        <v>0.5</v>
      </c>
      <c r="BF27" s="930"/>
    </row>
    <row r="28" spans="1:62" ht="13.5" customHeight="1">
      <c r="A28" s="147"/>
      <c r="B28" s="165"/>
      <c r="C28" s="267" t="s">
        <v>360</v>
      </c>
      <c r="D28" s="165" t="s">
        <v>731</v>
      </c>
      <c r="E28" s="165"/>
      <c r="F28" s="165"/>
      <c r="G28" s="165"/>
      <c r="H28" s="165"/>
      <c r="I28" s="151"/>
      <c r="J28" s="151"/>
      <c r="K28" s="776" t="s">
        <v>620</v>
      </c>
      <c r="L28" s="776"/>
      <c r="M28" s="776"/>
      <c r="N28" s="151"/>
      <c r="O28" s="327"/>
      <c r="P28" s="327"/>
      <c r="Q28" s="327"/>
      <c r="R28" s="327"/>
      <c r="S28" s="146"/>
      <c r="T28" s="5" t="s">
        <v>333</v>
      </c>
      <c r="U28" s="272" t="s">
        <v>616</v>
      </c>
      <c r="AL28" s="209" t="s">
        <v>268</v>
      </c>
      <c r="AM28" s="210">
        <v>0.45</v>
      </c>
      <c r="AO28" s="12"/>
      <c r="AT28" s="938">
        <v>0.125</v>
      </c>
      <c r="AU28" s="938"/>
      <c r="AV28" s="930">
        <v>0.5</v>
      </c>
      <c r="AW28" s="930"/>
      <c r="AX28" s="930">
        <v>0.4</v>
      </c>
      <c r="AY28" s="930"/>
      <c r="BA28" s="938">
        <v>0.2</v>
      </c>
      <c r="BB28" s="938"/>
      <c r="BC28" s="930">
        <v>0.6</v>
      </c>
      <c r="BD28" s="930"/>
      <c r="BE28" s="930">
        <v>0.6</v>
      </c>
      <c r="BF28" s="930"/>
    </row>
    <row r="29" spans="1:62" ht="13.5" customHeight="1">
      <c r="A29" s="147"/>
      <c r="B29" s="165"/>
      <c r="C29" s="204" t="s">
        <v>364</v>
      </c>
      <c r="D29" s="167" t="s">
        <v>745</v>
      </c>
      <c r="E29" s="167"/>
      <c r="F29" s="167"/>
      <c r="G29" s="167"/>
      <c r="H29" s="167"/>
      <c r="I29" s="167"/>
      <c r="J29" s="204"/>
      <c r="K29" s="204"/>
      <c r="L29" s="204"/>
      <c r="M29" s="152"/>
      <c r="N29" s="152"/>
      <c r="O29" s="327"/>
      <c r="P29" s="327"/>
      <c r="Q29" s="327"/>
      <c r="R29" s="327"/>
      <c r="S29" s="177"/>
      <c r="T29" s="1" t="s">
        <v>335</v>
      </c>
      <c r="U29" s="5" t="s">
        <v>469</v>
      </c>
      <c r="AL29" s="209" t="s">
        <v>269</v>
      </c>
      <c r="AM29" s="210">
        <v>0.5</v>
      </c>
      <c r="AO29" s="12"/>
      <c r="AT29" s="938">
        <v>0.15</v>
      </c>
      <c r="AU29" s="938"/>
      <c r="AV29" s="930">
        <v>0.6</v>
      </c>
      <c r="AW29" s="930"/>
      <c r="AX29" s="930">
        <v>0.45</v>
      </c>
      <c r="AY29" s="930"/>
      <c r="BA29" s="938">
        <v>0.25</v>
      </c>
      <c r="BB29" s="938"/>
      <c r="BC29" s="930">
        <v>0.65</v>
      </c>
      <c r="BD29" s="930"/>
      <c r="BE29" s="930">
        <v>0.65</v>
      </c>
      <c r="BF29" s="930"/>
    </row>
    <row r="30" spans="1:62" ht="13.5" customHeight="1">
      <c r="A30" s="147"/>
      <c r="B30" s="165"/>
      <c r="C30" s="232"/>
      <c r="D30" s="580" t="s">
        <v>373</v>
      </c>
      <c r="E30" s="580"/>
      <c r="F30" s="580"/>
      <c r="G30" s="580"/>
      <c r="H30" s="580"/>
      <c r="I30" s="774" t="s">
        <v>384</v>
      </c>
      <c r="J30" s="774"/>
      <c r="K30" s="774" t="s">
        <v>386</v>
      </c>
      <c r="L30" s="774"/>
      <c r="M30" s="925" t="s">
        <v>682</v>
      </c>
      <c r="N30" s="925"/>
      <c r="O30" s="925" t="s">
        <v>388</v>
      </c>
      <c r="P30" s="925"/>
      <c r="Q30" s="575" t="s">
        <v>389</v>
      </c>
      <c r="R30" s="576"/>
      <c r="S30" s="177"/>
      <c r="U30" s="5" t="s">
        <v>337</v>
      </c>
      <c r="AL30" s="209" t="s">
        <v>270</v>
      </c>
      <c r="AM30" s="210">
        <v>0.55000000000000004</v>
      </c>
      <c r="AO30" s="12"/>
      <c r="AT30" s="939">
        <v>0.2</v>
      </c>
      <c r="AU30" s="939"/>
      <c r="AV30" s="930">
        <v>0.65</v>
      </c>
      <c r="AW30" s="930"/>
      <c r="AX30" s="930">
        <v>0.5</v>
      </c>
      <c r="AY30" s="930"/>
      <c r="BA30" s="939">
        <v>0.3</v>
      </c>
      <c r="BB30" s="939"/>
      <c r="BC30" s="930">
        <v>0.7</v>
      </c>
      <c r="BD30" s="930"/>
      <c r="BE30" s="930">
        <v>0.7</v>
      </c>
      <c r="BF30" s="930"/>
    </row>
    <row r="31" spans="1:62" ht="13.5" customHeight="1">
      <c r="A31" s="147"/>
      <c r="B31" s="165"/>
      <c r="C31" s="204"/>
      <c r="D31" s="580"/>
      <c r="E31" s="580"/>
      <c r="F31" s="580"/>
      <c r="G31" s="580"/>
      <c r="H31" s="580"/>
      <c r="I31" s="775" t="s">
        <v>383</v>
      </c>
      <c r="J31" s="775"/>
      <c r="K31" s="926" t="s">
        <v>385</v>
      </c>
      <c r="L31" s="926"/>
      <c r="M31" s="775" t="s">
        <v>683</v>
      </c>
      <c r="N31" s="775"/>
      <c r="O31" s="775" t="s">
        <v>387</v>
      </c>
      <c r="P31" s="775"/>
      <c r="Q31" s="577" t="s">
        <v>490</v>
      </c>
      <c r="R31" s="578"/>
      <c r="S31" s="146"/>
      <c r="U31" s="5" t="s">
        <v>433</v>
      </c>
      <c r="AL31" s="209" t="s">
        <v>272</v>
      </c>
      <c r="AM31" s="210">
        <v>0.6</v>
      </c>
      <c r="AO31" s="12"/>
      <c r="AT31" s="939">
        <v>0.25</v>
      </c>
      <c r="AU31" s="939"/>
      <c r="AV31" s="930">
        <v>0.7</v>
      </c>
      <c r="AW31" s="930"/>
      <c r="AX31" s="930">
        <v>0.55000000000000004</v>
      </c>
      <c r="AY31" s="930"/>
      <c r="BA31" s="939">
        <v>0.35</v>
      </c>
      <c r="BB31" s="939"/>
      <c r="BC31" s="930">
        <v>0.75</v>
      </c>
      <c r="BD31" s="930"/>
      <c r="BE31" s="930">
        <v>0.75</v>
      </c>
      <c r="BF31" s="930"/>
    </row>
    <row r="32" spans="1:62" ht="13.5" customHeight="1">
      <c r="A32" s="147"/>
      <c r="B32" s="165"/>
      <c r="C32" s="204"/>
      <c r="D32" s="915" t="str">
        <f>IF(AND($K$28="コンクリート",K32&lt;=4),"矩形ます(側面浸透)",IF(AND($K$28="砕石",K32&lt;=4),"矩形ます(側面・底面浸透)",IF(AND($K$28="コンクリート",K32&gt;4),"大型貯留槽（側面浸透）",IF(AND($K$28="砕石",K32&gt;4),"大型貯留槽（側面・底面浸透）",))))</f>
        <v>矩形ます(側面・底面浸透)</v>
      </c>
      <c r="E32" s="915"/>
      <c r="F32" s="915"/>
      <c r="G32" s="915"/>
      <c r="H32" s="915"/>
      <c r="I32" s="832"/>
      <c r="J32" s="832"/>
      <c r="K32" s="788"/>
      <c r="L32" s="788"/>
      <c r="M32" s="918" t="s">
        <v>344</v>
      </c>
      <c r="N32" s="918"/>
      <c r="O32" s="833"/>
      <c r="P32" s="833"/>
      <c r="Q32" s="931">
        <v>1</v>
      </c>
      <c r="R32" s="932"/>
      <c r="S32" s="146"/>
      <c r="U32" s="190" t="s">
        <v>314</v>
      </c>
      <c r="AL32" s="209" t="s">
        <v>274</v>
      </c>
      <c r="AM32" s="210">
        <v>0.65</v>
      </c>
      <c r="AO32" s="12"/>
      <c r="AT32" s="939">
        <v>0.3</v>
      </c>
      <c r="AU32" s="939"/>
      <c r="AV32" s="930">
        <v>0.75</v>
      </c>
      <c r="AW32" s="930"/>
      <c r="AX32" s="930">
        <v>0.6</v>
      </c>
      <c r="AY32" s="930"/>
      <c r="BA32" s="939">
        <v>0.4</v>
      </c>
      <c r="BB32" s="939"/>
      <c r="BC32" s="930">
        <v>0.8</v>
      </c>
      <c r="BD32" s="930"/>
      <c r="BE32" s="930">
        <v>0.8</v>
      </c>
      <c r="BF32" s="930"/>
    </row>
    <row r="33" spans="1:58" ht="13.5" customHeight="1">
      <c r="A33" s="147"/>
      <c r="B33" s="165"/>
      <c r="C33" s="373"/>
      <c r="D33" s="820" t="s">
        <v>684</v>
      </c>
      <c r="E33" s="821"/>
      <c r="F33" s="821"/>
      <c r="G33" s="821"/>
      <c r="H33" s="822"/>
      <c r="I33" s="919">
        <f>IF(M33="",0,VLOOKUP(M33,AT27:AY33,3,0))</f>
        <v>0.6</v>
      </c>
      <c r="J33" s="920"/>
      <c r="K33" s="921">
        <f>IF(M33="",0,VLOOKUP(M33,AT27:AY33,5,0))</f>
        <v>0.45</v>
      </c>
      <c r="L33" s="922"/>
      <c r="M33" s="933">
        <v>0.15</v>
      </c>
      <c r="N33" s="933"/>
      <c r="O33" s="833"/>
      <c r="P33" s="833"/>
      <c r="Q33" s="924">
        <v>1</v>
      </c>
      <c r="R33" s="924"/>
      <c r="S33" s="146"/>
      <c r="U33" s="412" t="s">
        <v>752</v>
      </c>
      <c r="AL33" s="209" t="s">
        <v>276</v>
      </c>
      <c r="AM33" s="210">
        <v>0.7</v>
      </c>
      <c r="AO33" s="12" t="str">
        <f>IF(AND($K$28="コンクリート",K32&lt;=4),"矩形ます_側面浸透",
IF(AND($K$28="砕石",K32&lt;=4),"矩形ます_側面・底面浸透",
IF(AND($K$28="コンクリート",K32&gt;4,K32&lt;=10),"大型貯留槽_側面浸透5_10",
IF(AND($K$28="砕石",K32&gt;4,K32&lt;=10),"大型貯留槽_側面・底面浸透5_10",
IF(AND($K$28="コンクリート",K32&lt;=20,K32&gt;10),"大型貯留槽_側面浸透10_20",
IF(AND($K$28="砕石",K32&lt;=20,K32&gt;10),"大型貯留槽_側面・底面浸透10_20",
IF(AND($K$28="コンクリート",K32&gt;20),"大型貯留槽_側面浸透20_30",
IF(AND($K$28="砕石",K32&gt;20),"大型貯留槽_側面・底面浸透20_30",
))))))))</f>
        <v>矩形ます_側面・底面浸透</v>
      </c>
      <c r="AP33" s="292"/>
      <c r="AQ33" s="292"/>
      <c r="AR33" s="292"/>
      <c r="AS33" s="292"/>
      <c r="AT33" s="939">
        <v>0.35</v>
      </c>
      <c r="AU33" s="939"/>
      <c r="AV33" s="930">
        <v>0.8</v>
      </c>
      <c r="AW33" s="930"/>
      <c r="AX33" s="930">
        <v>0.65</v>
      </c>
      <c r="AY33" s="930"/>
      <c r="BA33" s="939">
        <v>0.5</v>
      </c>
      <c r="BB33" s="939"/>
      <c r="BC33" s="930">
        <v>0.9</v>
      </c>
      <c r="BD33" s="930"/>
      <c r="BE33" s="930">
        <v>0.9</v>
      </c>
      <c r="BF33" s="930"/>
    </row>
    <row r="34" spans="1:58" ht="13.5" customHeight="1">
      <c r="A34" s="147"/>
      <c r="B34" s="165"/>
      <c r="C34" s="373"/>
      <c r="D34" s="820" t="s">
        <v>685</v>
      </c>
      <c r="E34" s="821"/>
      <c r="F34" s="821"/>
      <c r="G34" s="821"/>
      <c r="H34" s="822"/>
      <c r="I34" s="919">
        <f>IF(M34="",0,VLOOKUP(M34,BA27:BF33,3,0))</f>
        <v>0.7</v>
      </c>
      <c r="J34" s="920"/>
      <c r="K34" s="921">
        <f>IF(M34="",0,VLOOKUP(M34,BA27:BF33,5,0))</f>
        <v>0.7</v>
      </c>
      <c r="L34" s="922"/>
      <c r="M34" s="933">
        <v>0.3</v>
      </c>
      <c r="N34" s="933"/>
      <c r="O34" s="918" t="s">
        <v>215</v>
      </c>
      <c r="P34" s="918"/>
      <c r="Q34" s="862"/>
      <c r="R34" s="862"/>
      <c r="S34" s="146"/>
      <c r="U34" s="190" t="s">
        <v>753</v>
      </c>
      <c r="AL34" s="209" t="s">
        <v>277</v>
      </c>
      <c r="AM34" s="210">
        <v>0.75</v>
      </c>
      <c r="AO34" s="12" t="s">
        <v>619</v>
      </c>
      <c r="AP34" s="5"/>
      <c r="AQ34" s="5"/>
      <c r="AR34" s="5"/>
      <c r="AS34" s="5"/>
      <c r="AT34" s="5"/>
      <c r="AU34" s="5"/>
      <c r="AV34" s="5"/>
      <c r="AW34" s="5"/>
      <c r="AX34" s="5"/>
    </row>
    <row r="35" spans="1:58" ht="13.5" customHeight="1">
      <c r="A35" s="147"/>
      <c r="B35" s="165"/>
      <c r="C35" s="286" t="s">
        <v>339</v>
      </c>
      <c r="D35" s="165" t="s">
        <v>458</v>
      </c>
      <c r="E35" s="165"/>
      <c r="F35" s="165"/>
      <c r="G35" s="165"/>
      <c r="H35" s="165"/>
      <c r="I35" s="165"/>
      <c r="J35" s="599" t="s">
        <v>750</v>
      </c>
      <c r="K35" s="599"/>
      <c r="L35" s="599"/>
      <c r="M35" s="599"/>
      <c r="N35" s="599"/>
      <c r="O35" s="149">
        <f>IF(J35="国県私が管理する排水施設","※要施設管理者と協議",0)</f>
        <v>0</v>
      </c>
      <c r="Q35" s="165"/>
      <c r="R35" s="165"/>
      <c r="S35" s="146"/>
      <c r="T35" s="1" t="s">
        <v>340</v>
      </c>
      <c r="U35" s="1" t="s">
        <v>749</v>
      </c>
      <c r="AL35" s="209" t="s">
        <v>279</v>
      </c>
      <c r="AM35" s="210">
        <v>0.8</v>
      </c>
      <c r="AO35" s="171"/>
      <c r="AP35" s="291"/>
      <c r="AQ35" s="291"/>
      <c r="AR35" s="291"/>
      <c r="AS35" s="291"/>
      <c r="AT35" s="291"/>
      <c r="AU35" s="291"/>
      <c r="AV35" s="291"/>
      <c r="AW35" s="291"/>
      <c r="AX35" s="291"/>
    </row>
    <row r="36" spans="1:58" ht="13.5" customHeight="1">
      <c r="A36" s="147"/>
      <c r="B36" s="165"/>
      <c r="C36" s="167"/>
      <c r="D36" s="165"/>
      <c r="E36" s="165"/>
      <c r="F36" s="165"/>
      <c r="G36" s="165"/>
      <c r="H36" s="165"/>
      <c r="I36" s="165"/>
      <c r="J36" s="165"/>
      <c r="K36" s="165"/>
      <c r="L36" s="165"/>
      <c r="M36" s="165"/>
      <c r="N36" s="165"/>
      <c r="O36" s="165"/>
      <c r="P36" s="165"/>
      <c r="Q36" s="165"/>
      <c r="R36" s="165"/>
      <c r="S36" s="146"/>
      <c r="U36" s="1" t="s">
        <v>748</v>
      </c>
      <c r="AL36" s="209" t="s">
        <v>281</v>
      </c>
      <c r="AM36" s="210">
        <v>0.85</v>
      </c>
      <c r="AO36" s="12"/>
    </row>
    <row r="37" spans="1:58" ht="13.5" customHeight="1">
      <c r="A37" s="147"/>
      <c r="B37" s="165">
        <v>3</v>
      </c>
      <c r="C37" s="167" t="s">
        <v>61</v>
      </c>
      <c r="D37" s="165"/>
      <c r="E37" s="165"/>
      <c r="F37" s="165"/>
      <c r="G37" s="165"/>
      <c r="H37" s="165"/>
      <c r="I37" s="165"/>
      <c r="J37" s="165"/>
      <c r="K37" s="165"/>
      <c r="L37" s="165"/>
      <c r="M37" s="165"/>
      <c r="N37" s="165"/>
      <c r="O37" s="165"/>
      <c r="P37" s="165"/>
      <c r="Q37" s="165"/>
      <c r="R37" s="165"/>
      <c r="S37" s="146"/>
      <c r="T37" s="1" t="s">
        <v>329</v>
      </c>
      <c r="U37" s="1" t="s">
        <v>338</v>
      </c>
      <c r="AL37" s="209" t="s">
        <v>282</v>
      </c>
      <c r="AM37" s="210">
        <v>0.9</v>
      </c>
      <c r="AO37" s="12"/>
    </row>
    <row r="38" spans="1:58" ht="13.5" customHeight="1" thickBot="1">
      <c r="A38" s="147"/>
      <c r="B38" s="165"/>
      <c r="C38" s="204" t="s">
        <v>771</v>
      </c>
      <c r="D38" s="165" t="s">
        <v>309</v>
      </c>
      <c r="E38" s="165"/>
      <c r="F38" s="165"/>
      <c r="G38" s="165"/>
      <c r="H38" s="165"/>
      <c r="I38" s="165"/>
      <c r="J38" s="138" t="s">
        <v>69</v>
      </c>
      <c r="K38" s="588">
        <v>2.5000000000000001E-2</v>
      </c>
      <c r="L38" s="588"/>
      <c r="M38" s="138" t="s">
        <v>70</v>
      </c>
      <c r="N38" s="165"/>
      <c r="O38" s="165" t="str">
        <f>IF(G21=0,"※入力不要","")</f>
        <v>※入力不要</v>
      </c>
      <c r="P38" s="187"/>
      <c r="Q38" s="327"/>
      <c r="R38" s="327"/>
      <c r="S38" s="146"/>
      <c r="T38" s="206" t="s">
        <v>772</v>
      </c>
      <c r="U38" s="1" t="s">
        <v>434</v>
      </c>
      <c r="AL38" s="211"/>
      <c r="AM38" s="212"/>
      <c r="AN38" s="264"/>
      <c r="AO38" s="12"/>
    </row>
    <row r="39" spans="1:58" ht="13.5" customHeight="1">
      <c r="A39" s="147"/>
      <c r="B39" s="165"/>
      <c r="C39" s="165"/>
      <c r="D39" s="165"/>
      <c r="E39" s="165"/>
      <c r="F39" s="165"/>
      <c r="G39" s="165"/>
      <c r="H39" s="165"/>
      <c r="I39" s="165"/>
      <c r="J39" s="165"/>
      <c r="K39" s="327"/>
      <c r="L39" s="327"/>
      <c r="M39" s="327"/>
      <c r="N39" s="327"/>
      <c r="O39" s="327"/>
      <c r="P39" s="327"/>
      <c r="Q39" s="327"/>
      <c r="R39" s="165"/>
      <c r="S39" s="146"/>
      <c r="U39" s="1" t="s">
        <v>435</v>
      </c>
      <c r="AL39" s="264"/>
      <c r="AM39" s="264"/>
      <c r="AO39" s="12"/>
    </row>
    <row r="40" spans="1:58" ht="13.5" customHeight="1">
      <c r="A40" s="155" t="s">
        <v>637</v>
      </c>
      <c r="B40" s="139"/>
      <c r="C40" s="139"/>
      <c r="D40" s="139"/>
      <c r="E40" s="165"/>
      <c r="F40" s="165"/>
      <c r="G40" s="165"/>
      <c r="H40" s="165"/>
      <c r="I40" s="175"/>
      <c r="J40" s="140"/>
      <c r="K40" s="368"/>
      <c r="L40" s="368"/>
      <c r="M40" s="139"/>
      <c r="N40" s="165"/>
      <c r="O40" s="165"/>
      <c r="P40" s="165"/>
      <c r="Q40" s="165"/>
      <c r="R40" s="165"/>
      <c r="S40" s="146"/>
      <c r="U40" s="1" t="s">
        <v>416</v>
      </c>
      <c r="AA40" s="4"/>
      <c r="AB40" s="4"/>
      <c r="AC40" s="287"/>
      <c r="AO40" s="12"/>
    </row>
    <row r="41" spans="1:58" ht="13.5" customHeight="1">
      <c r="A41" s="147"/>
      <c r="B41" s="95"/>
      <c r="C41" s="96"/>
      <c r="D41" s="96"/>
      <c r="E41" s="96"/>
      <c r="F41" s="96"/>
      <c r="G41" s="97"/>
      <c r="H41" s="426" t="s">
        <v>210</v>
      </c>
      <c r="I41" s="426"/>
      <c r="J41" s="424"/>
      <c r="K41" s="426" t="s">
        <v>211</v>
      </c>
      <c r="L41" s="426"/>
      <c r="M41" s="426"/>
      <c r="N41" s="425" t="s">
        <v>212</v>
      </c>
      <c r="O41" s="426"/>
      <c r="P41" s="426"/>
      <c r="Q41" s="451" t="s">
        <v>213</v>
      </c>
      <c r="R41" s="452"/>
      <c r="S41" s="146"/>
      <c r="AA41" s="295"/>
      <c r="AB41" s="295"/>
      <c r="AC41" s="291"/>
      <c r="AK41" s="171"/>
    </row>
    <row r="42" spans="1:58" ht="13.5" customHeight="1">
      <c r="A42" s="144"/>
      <c r="B42" s="98"/>
      <c r="C42" s="99"/>
      <c r="D42" s="99"/>
      <c r="E42" s="99"/>
      <c r="F42" s="99"/>
      <c r="G42" s="100"/>
      <c r="H42" s="451"/>
      <c r="I42" s="453"/>
      <c r="J42" s="453"/>
      <c r="K42" s="451"/>
      <c r="L42" s="453"/>
      <c r="M42" s="452"/>
      <c r="N42" s="451"/>
      <c r="O42" s="453"/>
      <c r="P42" s="452"/>
      <c r="Q42" s="451"/>
      <c r="R42" s="452"/>
      <c r="S42" s="146"/>
      <c r="V42" s="1" t="s">
        <v>758</v>
      </c>
      <c r="AA42" s="296"/>
      <c r="AB42" s="296" t="s">
        <v>759</v>
      </c>
      <c r="AC42" s="294"/>
      <c r="AK42" s="111"/>
      <c r="AL42" s="5" t="s">
        <v>57</v>
      </c>
      <c r="AM42" s="5"/>
      <c r="AN42" s="5"/>
      <c r="AO42" s="5"/>
      <c r="AP42" s="5"/>
      <c r="AQ42" s="4"/>
      <c r="AR42" s="4" t="s">
        <v>58</v>
      </c>
      <c r="AS42" s="940" t="str">
        <f>IF(M7=0,"",ROUNDDOWN((Q32*AX44+O33*AX45+Q34*AX46)/G15/$M$7*1000,2))</f>
        <v/>
      </c>
      <c r="AT42" s="940"/>
      <c r="AU42" s="394" t="s">
        <v>59</v>
      </c>
      <c r="AV42" s="4"/>
      <c r="AW42" s="273" t="s">
        <v>60</v>
      </c>
      <c r="AX42" s="4"/>
      <c r="AY42" s="5"/>
    </row>
    <row r="43" spans="1:58" ht="13.5" customHeight="1">
      <c r="A43" s="144"/>
      <c r="B43" s="101" t="s">
        <v>214</v>
      </c>
      <c r="C43" s="70"/>
      <c r="D43" s="70"/>
      <c r="E43" s="70"/>
      <c r="F43" s="70"/>
      <c r="G43" s="102"/>
      <c r="H43" s="466">
        <f>E145</f>
        <v>0</v>
      </c>
      <c r="I43" s="467"/>
      <c r="J43" s="467"/>
      <c r="K43" s="466" t="s">
        <v>215</v>
      </c>
      <c r="L43" s="467"/>
      <c r="M43" s="467"/>
      <c r="N43" s="466">
        <f>E150</f>
        <v>0</v>
      </c>
      <c r="O43" s="467"/>
      <c r="P43" s="468"/>
      <c r="Q43" s="456" t="str">
        <f>IF(H43&gt;=N43,"ＯＫ","ＮＧ")</f>
        <v>ＯＫ</v>
      </c>
      <c r="R43" s="457"/>
      <c r="S43" s="146"/>
      <c r="AA43" s="296"/>
      <c r="AB43" s="296"/>
      <c r="AC43" s="294"/>
      <c r="AK43" s="111"/>
      <c r="AL43" s="872" t="s">
        <v>52</v>
      </c>
      <c r="AM43" s="872"/>
      <c r="AN43" s="871" t="s">
        <v>302</v>
      </c>
      <c r="AO43" s="871"/>
      <c r="AP43" s="869" t="s">
        <v>303</v>
      </c>
      <c r="AQ43" s="869"/>
      <c r="AR43" s="872" t="s">
        <v>304</v>
      </c>
      <c r="AS43" s="873"/>
      <c r="AT43" s="872" t="s">
        <v>305</v>
      </c>
      <c r="AU43" s="873"/>
      <c r="AV43" s="873" t="s">
        <v>54</v>
      </c>
      <c r="AW43" s="873"/>
      <c r="AX43" s="869" t="s">
        <v>306</v>
      </c>
      <c r="AY43" s="869"/>
      <c r="AZ43" s="869" t="s">
        <v>56</v>
      </c>
      <c r="BA43" s="869"/>
    </row>
    <row r="44" spans="1:58" ht="13.5" customHeight="1">
      <c r="A44" s="144"/>
      <c r="B44" s="98"/>
      <c r="C44" s="99"/>
      <c r="D44" s="99"/>
      <c r="E44" s="99"/>
      <c r="F44" s="99"/>
      <c r="G44" s="100"/>
      <c r="H44" s="451"/>
      <c r="I44" s="453"/>
      <c r="J44" s="453"/>
      <c r="K44" s="451" t="str">
        <f>IF(M7=0,"","("&amp;ROUND(K45/($G$15/10000),0)&amp;" m3/ha)")</f>
        <v/>
      </c>
      <c r="L44" s="453"/>
      <c r="M44" s="452"/>
      <c r="N44" s="451"/>
      <c r="O44" s="453"/>
      <c r="P44" s="452"/>
      <c r="Q44" s="458"/>
      <c r="R44" s="460"/>
      <c r="S44" s="146"/>
      <c r="AA44" s="296"/>
      <c r="AB44" s="296"/>
      <c r="AC44" s="294"/>
      <c r="AK44" s="111"/>
      <c r="AL44" s="870">
        <f>IF(D32="大型貯留槽（側面・底面浸透）",$BF$14,IF(D32="大型貯留槽（側面浸透）",BF14-BF19,VLOOKUP(D32,$AT$12:$BC$13,10)))</f>
        <v>-0.83399999999999996</v>
      </c>
      <c r="AM44" s="870"/>
      <c r="AN44" s="870">
        <f>IF(D32&lt;&gt;0,$K$26,0)</f>
        <v>0.02</v>
      </c>
      <c r="AO44" s="870"/>
      <c r="AP44" s="870">
        <f>ROUND(AL44*AN44,3)</f>
        <v>-1.7000000000000001E-2</v>
      </c>
      <c r="AQ44" s="870"/>
      <c r="AR44" s="874">
        <f>IF(D32&lt;&gt;0,0.9,0)</f>
        <v>0.9</v>
      </c>
      <c r="AS44" s="874"/>
      <c r="AT44" s="874">
        <f>IF(D32="",0,IF($K$27="1.0m以上",1,0.9))</f>
        <v>0.9</v>
      </c>
      <c r="AU44" s="874"/>
      <c r="AV44" s="876">
        <f>IF(D32="",0,IF(D32="011透水性舗装",0.1,IF(AC42="不要",1,0.8)))</f>
        <v>0.8</v>
      </c>
      <c r="AW44" s="876"/>
      <c r="AX44" s="870">
        <f>IF(O32&gt;0,ROUND(AP44*AR44*AT44*AV44,3),0)</f>
        <v>0</v>
      </c>
      <c r="AY44" s="870"/>
      <c r="AZ44" s="870">
        <f>I32*K32*O32*$K$24*Q32</f>
        <v>0</v>
      </c>
      <c r="BA44" s="870"/>
    </row>
    <row r="45" spans="1:58" ht="13.5" customHeight="1">
      <c r="A45" s="144"/>
      <c r="B45" s="101" t="s">
        <v>467</v>
      </c>
      <c r="C45" s="70"/>
      <c r="D45" s="70"/>
      <c r="E45" s="70"/>
      <c r="F45" s="70"/>
      <c r="G45" s="102"/>
      <c r="H45" s="476" t="s">
        <v>215</v>
      </c>
      <c r="I45" s="477"/>
      <c r="J45" s="477"/>
      <c r="K45" s="476" t="e">
        <f>E262</f>
        <v>#VALUE!</v>
      </c>
      <c r="L45" s="477"/>
      <c r="M45" s="478"/>
      <c r="N45" s="476">
        <f>E288</f>
        <v>0</v>
      </c>
      <c r="O45" s="477"/>
      <c r="P45" s="478"/>
      <c r="Q45" s="456" t="e">
        <f>IF(K45&lt;=N45,"ＯＫ","ＮＧ")</f>
        <v>#VALUE!</v>
      </c>
      <c r="R45" s="457"/>
      <c r="S45" s="146"/>
      <c r="AA45" s="296"/>
      <c r="AB45" s="296"/>
      <c r="AC45" s="294"/>
      <c r="AK45" s="111"/>
      <c r="AL45" s="870">
        <f>IF(D33&lt;&gt;0,BC22,0)</f>
        <v>3.1358000000000001</v>
      </c>
      <c r="AM45" s="870"/>
      <c r="AN45" s="870">
        <f>IF(D34&lt;&gt;0,$K$26,0)</f>
        <v>0.02</v>
      </c>
      <c r="AO45" s="870"/>
      <c r="AP45" s="870">
        <f>ROUND(AL45*AN45,3)</f>
        <v>6.3E-2</v>
      </c>
      <c r="AQ45" s="870"/>
      <c r="AR45" s="874">
        <f>IF(D33&lt;&gt;0,0.9,0)</f>
        <v>0.9</v>
      </c>
      <c r="AS45" s="874"/>
      <c r="AT45" s="874">
        <f>IF(D33="",0,IF($K$27="1.0m以上",1,0.9))</f>
        <v>0.9</v>
      </c>
      <c r="AU45" s="874"/>
      <c r="AV45" s="876">
        <v>0.8</v>
      </c>
      <c r="AW45" s="876"/>
      <c r="AX45" s="870">
        <f>IF(O33&gt;0,ROUND(AP45*AR45*AT45*AV45,3),0)</f>
        <v>0</v>
      </c>
      <c r="AY45" s="870"/>
      <c r="AZ45" s="870">
        <f>IF(D33="浸透トレンチ",(M33^2*PI()/4+(I33*K33-M33^2*PI()/4)*0.3)*O33,0)</f>
        <v>0</v>
      </c>
      <c r="BA45" s="870"/>
    </row>
    <row r="46" spans="1:58" ht="13.5" customHeight="1" thickBot="1">
      <c r="A46" s="158"/>
      <c r="B46" s="159"/>
      <c r="C46" s="160"/>
      <c r="D46" s="160"/>
      <c r="E46" s="160"/>
      <c r="F46" s="160"/>
      <c r="G46" s="160"/>
      <c r="H46" s="160"/>
      <c r="I46" s="160"/>
      <c r="J46" s="160"/>
      <c r="K46" s="160"/>
      <c r="L46" s="160"/>
      <c r="M46" s="160"/>
      <c r="N46" s="160"/>
      <c r="O46" s="160"/>
      <c r="P46" s="160"/>
      <c r="Q46" s="160"/>
      <c r="R46" s="159"/>
      <c r="S46" s="179"/>
      <c r="AL46" s="870">
        <f>IF(D34&lt;&gt;0,BC23,0)</f>
        <v>6.6555399999999993</v>
      </c>
      <c r="AM46" s="870"/>
      <c r="AN46" s="870">
        <f>IF(D35&lt;&gt;0,$K$26,0)</f>
        <v>0.02</v>
      </c>
      <c r="AO46" s="870"/>
      <c r="AP46" s="870">
        <f>ROUND(AL46*AN46,3)</f>
        <v>0.13300000000000001</v>
      </c>
      <c r="AQ46" s="870"/>
      <c r="AR46" s="874">
        <f>IF(D34&lt;&gt;0,0.9,0)</f>
        <v>0.9</v>
      </c>
      <c r="AS46" s="874"/>
      <c r="AT46" s="874">
        <f>IF(D34="",0,IF($K$27="1.0m以上",1,0.9))</f>
        <v>0.9</v>
      </c>
      <c r="AU46" s="874"/>
      <c r="AV46" s="876">
        <v>0.8</v>
      </c>
      <c r="AW46" s="876"/>
      <c r="AX46" s="870">
        <f>IF(Q34&gt;0,ROUND(AP46*AR46*AT46*AV46,3),0)</f>
        <v>0</v>
      </c>
      <c r="AY46" s="870"/>
      <c r="AZ46" s="870">
        <f>IF(D34="正方形ます(側面・底面浸透)",(M34^2*PI()/4*(I34-0.15)+(I34*K34*K34-M34^2*PI()/4*(I34-0.15))*0.3)*Q34,0)</f>
        <v>0</v>
      </c>
      <c r="BA46" s="870"/>
    </row>
    <row r="47" spans="1:58" ht="13.5" customHeight="1">
      <c r="A47" s="136"/>
      <c r="B47" s="136"/>
      <c r="C47" s="136"/>
      <c r="D47" s="369"/>
      <c r="E47" s="370"/>
      <c r="F47" s="370"/>
      <c r="G47" s="369"/>
      <c r="H47" s="369"/>
      <c r="I47" s="369"/>
      <c r="J47" s="369"/>
      <c r="K47" s="370"/>
      <c r="L47" s="327"/>
      <c r="M47" s="327"/>
      <c r="N47" s="327"/>
      <c r="O47" s="327"/>
      <c r="P47" s="327"/>
      <c r="Q47" s="327"/>
      <c r="R47" s="136"/>
      <c r="S47" s="136"/>
    </row>
    <row r="48" spans="1:58" ht="13.5" customHeight="1">
      <c r="A48" s="136"/>
      <c r="B48" s="136"/>
      <c r="C48" s="136"/>
      <c r="D48" s="327"/>
      <c r="E48" s="136"/>
      <c r="F48" s="136"/>
      <c r="G48" s="136"/>
      <c r="H48" s="136"/>
      <c r="I48" s="136"/>
      <c r="J48" s="327"/>
      <c r="K48" s="327"/>
      <c r="L48" s="327"/>
      <c r="M48" s="327"/>
      <c r="N48" s="327"/>
      <c r="O48" s="327"/>
      <c r="P48" s="136"/>
      <c r="Q48" s="136"/>
      <c r="R48" s="136"/>
      <c r="S48" s="136"/>
      <c r="T48" s="12"/>
    </row>
    <row r="49" spans="1:56" ht="13.5" customHeight="1">
      <c r="A49" s="133" t="s">
        <v>626</v>
      </c>
      <c r="B49" s="44"/>
      <c r="C49" s="44"/>
      <c r="D49" s="44"/>
      <c r="E49" s="44"/>
      <c r="F49" s="44"/>
      <c r="G49" s="44"/>
      <c r="H49" s="44"/>
      <c r="I49" s="44"/>
      <c r="J49" s="44"/>
      <c r="K49" s="44"/>
      <c r="L49" s="44"/>
      <c r="M49" s="44"/>
      <c r="N49" s="44"/>
      <c r="O49" s="44"/>
      <c r="P49" s="44"/>
      <c r="Q49" s="44"/>
      <c r="R49" s="44"/>
      <c r="S49" s="44"/>
      <c r="T49" s="44">
        <v>1</v>
      </c>
    </row>
    <row r="50" spans="1:56" ht="13.5" customHeight="1">
      <c r="A50" s="133"/>
      <c r="B50" s="44"/>
      <c r="C50" s="44"/>
      <c r="D50" s="44"/>
      <c r="E50" s="44"/>
      <c r="F50" s="44"/>
      <c r="G50" s="44"/>
      <c r="H50" s="44"/>
      <c r="I50" s="44"/>
      <c r="J50" s="44"/>
      <c r="K50" s="44"/>
      <c r="L50" s="44"/>
      <c r="M50" s="44"/>
      <c r="N50" s="44"/>
      <c r="O50" s="44"/>
      <c r="P50" s="44"/>
      <c r="Q50" s="44"/>
      <c r="R50" s="44"/>
      <c r="S50" s="44"/>
      <c r="T50" s="44">
        <f t="shared" ref="T50:T105" si="7">T49+1</f>
        <v>2</v>
      </c>
      <c r="AQ50" s="1" t="s">
        <v>65</v>
      </c>
      <c r="AS50" s="208"/>
      <c r="AU50" s="574">
        <f>ROUND(($G$15+G21)/10000*K38,5)</f>
        <v>0</v>
      </c>
      <c r="AV50" s="574"/>
      <c r="AW50" s="109" t="s">
        <v>64</v>
      </c>
    </row>
    <row r="51" spans="1:56" ht="13.5" customHeight="1">
      <c r="A51" s="133"/>
      <c r="B51" s="44" t="s">
        <v>640</v>
      </c>
      <c r="C51" s="44"/>
      <c r="D51" s="44"/>
      <c r="E51" s="44"/>
      <c r="F51" s="44"/>
      <c r="G51" s="44"/>
      <c r="H51" s="44"/>
      <c r="I51" s="44"/>
      <c r="J51" s="44"/>
      <c r="K51" s="44"/>
      <c r="L51" s="44"/>
      <c r="M51" s="44"/>
      <c r="N51" s="44"/>
      <c r="O51" s="44"/>
      <c r="P51" s="44"/>
      <c r="Q51" s="44"/>
      <c r="R51" s="44"/>
      <c r="S51" s="44"/>
      <c r="T51" s="44">
        <f t="shared" si="7"/>
        <v>3</v>
      </c>
    </row>
    <row r="52" spans="1:56" ht="13.5" customHeight="1">
      <c r="A52" s="133"/>
      <c r="B52" s="165">
        <v>1</v>
      </c>
      <c r="C52" s="165" t="s">
        <v>18</v>
      </c>
      <c r="D52" s="165"/>
      <c r="E52" s="165"/>
      <c r="F52" s="165"/>
      <c r="G52" s="165"/>
      <c r="H52" s="165"/>
      <c r="I52" s="165"/>
      <c r="J52" s="165"/>
      <c r="K52" s="165"/>
      <c r="L52" s="165"/>
      <c r="M52" s="165"/>
      <c r="N52" s="165"/>
      <c r="O52" s="165"/>
      <c r="P52" s="165"/>
      <c r="Q52" s="165"/>
      <c r="R52" s="165"/>
      <c r="S52" s="44"/>
      <c r="T52" s="44">
        <f t="shared" si="7"/>
        <v>4</v>
      </c>
    </row>
    <row r="53" spans="1:56" ht="13.5" customHeight="1">
      <c r="A53" s="133"/>
      <c r="B53" s="165"/>
      <c r="C53" s="373" t="s">
        <v>760</v>
      </c>
      <c r="D53" s="165" t="s">
        <v>762</v>
      </c>
      <c r="E53" s="165"/>
      <c r="F53" s="151"/>
      <c r="G53" s="151"/>
      <c r="H53" s="755">
        <f>H6</f>
        <v>0</v>
      </c>
      <c r="I53" s="755"/>
      <c r="J53" s="755"/>
      <c r="K53" s="755"/>
      <c r="L53" s="755"/>
      <c r="M53" s="755"/>
      <c r="N53" s="755"/>
      <c r="O53" s="755"/>
      <c r="P53" s="755"/>
      <c r="Q53" s="755"/>
      <c r="R53" s="755"/>
      <c r="S53" s="44"/>
      <c r="T53" s="44">
        <f t="shared" si="7"/>
        <v>5</v>
      </c>
      <c r="U53" s="44"/>
      <c r="BB53" s="173"/>
      <c r="BC53" s="173"/>
    </row>
    <row r="54" spans="1:56" ht="13.5" customHeight="1">
      <c r="A54" s="133"/>
      <c r="B54" s="165"/>
      <c r="C54" s="373" t="s">
        <v>783</v>
      </c>
      <c r="D54" s="165" t="s">
        <v>20</v>
      </c>
      <c r="E54" s="165"/>
      <c r="F54" s="165"/>
      <c r="G54" s="165"/>
      <c r="H54" s="165"/>
      <c r="I54" s="165"/>
      <c r="J54" s="165"/>
      <c r="K54" s="165"/>
      <c r="L54" s="151" t="s">
        <v>21</v>
      </c>
      <c r="M54" s="664">
        <f>M7</f>
        <v>0</v>
      </c>
      <c r="N54" s="664"/>
      <c r="O54" s="165" t="s">
        <v>22</v>
      </c>
      <c r="P54" s="165"/>
      <c r="Q54" s="165"/>
      <c r="R54" s="165"/>
      <c r="S54" s="44"/>
      <c r="T54" s="44">
        <f t="shared" si="7"/>
        <v>6</v>
      </c>
      <c r="AL54" s="557" t="s">
        <v>77</v>
      </c>
      <c r="AM54" s="557"/>
      <c r="AN54" s="112" t="s">
        <v>75</v>
      </c>
      <c r="AO54" s="573" t="e">
        <f>ROUND($AS$42,2)</f>
        <v>#VALUE!</v>
      </c>
      <c r="AP54" s="573"/>
      <c r="AQ54" s="205"/>
      <c r="AR54" s="557" t="s">
        <v>78</v>
      </c>
      <c r="AS54" s="557"/>
      <c r="AT54" s="108" t="s">
        <v>75</v>
      </c>
      <c r="AU54" s="573" t="e">
        <f>ROUND(2*$AY$64*$AS$42-$AU$63*($AW$64-1),2)</f>
        <v>#VALUE!</v>
      </c>
      <c r="AV54" s="573"/>
      <c r="AW54" s="176" t="s">
        <v>79</v>
      </c>
      <c r="AX54" s="112" t="s">
        <v>75</v>
      </c>
      <c r="AY54" s="566" t="e">
        <f>ROUND(($AS$42*$AY$64-$AU$63)*$AY$64,3)</f>
        <v>#VALUE!</v>
      </c>
      <c r="AZ54" s="566"/>
      <c r="BA54" s="566"/>
    </row>
    <row r="55" spans="1:56" ht="13.5" customHeight="1">
      <c r="A55" s="133"/>
      <c r="B55" s="165"/>
      <c r="C55" s="373"/>
      <c r="D55" s="665" t="s">
        <v>23</v>
      </c>
      <c r="E55" s="666"/>
      <c r="F55" s="667"/>
      <c r="G55" s="665" t="s">
        <v>24</v>
      </c>
      <c r="H55" s="666"/>
      <c r="I55" s="667"/>
      <c r="J55" s="665" t="s">
        <v>25</v>
      </c>
      <c r="K55" s="666"/>
      <c r="L55" s="665" t="s">
        <v>26</v>
      </c>
      <c r="M55" s="667"/>
      <c r="N55" s="665" t="s">
        <v>27</v>
      </c>
      <c r="O55" s="666"/>
      <c r="P55" s="666"/>
      <c r="Q55" s="666"/>
      <c r="R55" s="667"/>
      <c r="S55" s="44"/>
      <c r="T55" s="44">
        <f t="shared" si="7"/>
        <v>7</v>
      </c>
      <c r="AL55" s="415"/>
      <c r="AM55" s="415"/>
      <c r="AN55" s="112"/>
      <c r="AO55" s="417"/>
      <c r="AP55" s="417"/>
      <c r="AQ55" s="416"/>
      <c r="AR55" s="415"/>
      <c r="AS55" s="415"/>
      <c r="AT55" s="108"/>
      <c r="AU55" s="417"/>
      <c r="AV55" s="417"/>
      <c r="AW55" s="176"/>
      <c r="AX55" s="112"/>
      <c r="AY55" s="416"/>
      <c r="AZ55" s="416"/>
      <c r="BA55" s="416"/>
    </row>
    <row r="56" spans="1:56" ht="13.5" customHeight="1">
      <c r="A56" s="133"/>
      <c r="B56" s="165"/>
      <c r="C56" s="373"/>
      <c r="D56" s="674">
        <f t="shared" ref="D56:D61" si="8">D9</f>
        <v>0</v>
      </c>
      <c r="E56" s="675"/>
      <c r="F56" s="676"/>
      <c r="G56" s="677">
        <f t="shared" ref="G56:G62" si="9">G9</f>
        <v>0</v>
      </c>
      <c r="H56" s="678"/>
      <c r="I56" s="679"/>
      <c r="J56" s="630" t="str">
        <f t="shared" ref="J56:J61" si="10">J9</f>
        <v/>
      </c>
      <c r="K56" s="631"/>
      <c r="L56" s="668" t="str">
        <f t="shared" ref="L56:L62" si="11">L9</f>
        <v/>
      </c>
      <c r="M56" s="669"/>
      <c r="N56" s="684">
        <f t="shared" ref="N56:N61" si="12">N9</f>
        <v>0</v>
      </c>
      <c r="O56" s="685"/>
      <c r="P56" s="685"/>
      <c r="Q56" s="685"/>
      <c r="R56" s="686"/>
      <c r="S56" s="44"/>
      <c r="T56" s="44">
        <f t="shared" si="7"/>
        <v>8</v>
      </c>
      <c r="AL56" s="557" t="s">
        <v>81</v>
      </c>
      <c r="AM56" s="557"/>
      <c r="AN56" s="112" t="s">
        <v>75</v>
      </c>
      <c r="AO56" s="567" t="e">
        <f>2*ROUND($AS$42,2)</f>
        <v>#VALUE!</v>
      </c>
      <c r="AP56" s="567"/>
      <c r="AQ56" s="205"/>
      <c r="AR56" s="557" t="s">
        <v>82</v>
      </c>
      <c r="AS56" s="557"/>
      <c r="AT56" s="106" t="s">
        <v>75</v>
      </c>
      <c r="AU56" s="568" t="e">
        <f>ROUND($AV$57^$AW$64,3)</f>
        <v>#VALUE!</v>
      </c>
      <c r="AV56" s="568"/>
    </row>
    <row r="57" spans="1:56" ht="13.5" customHeight="1">
      <c r="A57" s="133"/>
      <c r="B57" s="165"/>
      <c r="C57" s="373"/>
      <c r="D57" s="687">
        <f t="shared" si="8"/>
        <v>0</v>
      </c>
      <c r="E57" s="688"/>
      <c r="F57" s="689"/>
      <c r="G57" s="690">
        <f t="shared" si="9"/>
        <v>0</v>
      </c>
      <c r="H57" s="691"/>
      <c r="I57" s="692"/>
      <c r="J57" s="643" t="str">
        <f t="shared" si="10"/>
        <v/>
      </c>
      <c r="K57" s="644"/>
      <c r="L57" s="650" t="str">
        <f t="shared" si="11"/>
        <v/>
      </c>
      <c r="M57" s="651"/>
      <c r="N57" s="697">
        <f t="shared" si="12"/>
        <v>0</v>
      </c>
      <c r="O57" s="698"/>
      <c r="P57" s="698"/>
      <c r="Q57" s="698"/>
      <c r="R57" s="699"/>
      <c r="S57" s="44"/>
      <c r="T57" s="44">
        <f t="shared" si="7"/>
        <v>9</v>
      </c>
      <c r="AL57" s="557" t="s">
        <v>83</v>
      </c>
      <c r="AM57" s="557"/>
      <c r="AN57" s="108" t="s">
        <v>75</v>
      </c>
      <c r="AO57" s="569" t="e">
        <f>ROUNDUP($AU$63/(AU56+$AY$64),2)</f>
        <v>#VALUE!</v>
      </c>
      <c r="AP57" s="570"/>
      <c r="AQ57" s="1" t="s">
        <v>59</v>
      </c>
      <c r="AT57" s="176" t="s">
        <v>84</v>
      </c>
      <c r="AU57" s="112" t="s">
        <v>75</v>
      </c>
      <c r="AV57" s="571" t="e">
        <f>ROUND((($AU$54+SQRT($AU$54^2-4*AO54*$AY$54))/(2*AO54))^(1/$AW$64),2)</f>
        <v>#VALUE!</v>
      </c>
      <c r="AW57" s="572"/>
      <c r="AX57" s="114" t="s">
        <v>85</v>
      </c>
    </row>
    <row r="58" spans="1:56" ht="13.5" customHeight="1">
      <c r="A58" s="133"/>
      <c r="B58" s="165"/>
      <c r="C58" s="373"/>
      <c r="D58" s="687">
        <f t="shared" si="8"/>
        <v>0</v>
      </c>
      <c r="E58" s="688"/>
      <c r="F58" s="689"/>
      <c r="G58" s="690">
        <f t="shared" si="9"/>
        <v>0</v>
      </c>
      <c r="H58" s="691"/>
      <c r="I58" s="692"/>
      <c r="J58" s="643" t="str">
        <f t="shared" si="10"/>
        <v/>
      </c>
      <c r="K58" s="644"/>
      <c r="L58" s="650" t="str">
        <f t="shared" si="11"/>
        <v/>
      </c>
      <c r="M58" s="651"/>
      <c r="N58" s="697">
        <f t="shared" si="12"/>
        <v>0</v>
      </c>
      <c r="O58" s="698"/>
      <c r="P58" s="698"/>
      <c r="Q58" s="698"/>
      <c r="R58" s="699"/>
      <c r="S58" s="44"/>
      <c r="T58" s="44">
        <f t="shared" si="7"/>
        <v>10</v>
      </c>
      <c r="AL58" s="105" t="s">
        <v>87</v>
      </c>
      <c r="AM58" s="105"/>
      <c r="AN58" s="105"/>
      <c r="AO58" s="105"/>
      <c r="AP58" s="105"/>
      <c r="AQ58" s="105"/>
      <c r="AR58" s="105"/>
    </row>
    <row r="59" spans="1:56" ht="13.5" customHeight="1">
      <c r="A59" s="133"/>
      <c r="B59" s="165"/>
      <c r="C59" s="373"/>
      <c r="D59" s="687">
        <f t="shared" si="8"/>
        <v>0</v>
      </c>
      <c r="E59" s="688"/>
      <c r="F59" s="689"/>
      <c r="G59" s="690">
        <f t="shared" si="9"/>
        <v>0</v>
      </c>
      <c r="H59" s="691"/>
      <c r="I59" s="692"/>
      <c r="J59" s="643" t="str">
        <f t="shared" si="10"/>
        <v/>
      </c>
      <c r="K59" s="644"/>
      <c r="L59" s="650" t="str">
        <f t="shared" si="11"/>
        <v/>
      </c>
      <c r="M59" s="651"/>
      <c r="N59" s="927">
        <f t="shared" si="12"/>
        <v>0</v>
      </c>
      <c r="O59" s="928"/>
      <c r="P59" s="928"/>
      <c r="Q59" s="928"/>
      <c r="R59" s="929"/>
      <c r="S59" s="44"/>
      <c r="T59" s="44">
        <f t="shared" si="7"/>
        <v>11</v>
      </c>
      <c r="AL59" s="105"/>
      <c r="AM59" s="105" t="s">
        <v>88</v>
      </c>
      <c r="AN59" s="105"/>
      <c r="AO59" s="105" t="s">
        <v>89</v>
      </c>
      <c r="AP59" s="110"/>
      <c r="AQ59" s="110"/>
      <c r="AR59" s="110"/>
      <c r="AS59" s="561">
        <v>15</v>
      </c>
      <c r="AT59" s="561"/>
      <c r="AU59" s="105" t="s">
        <v>90</v>
      </c>
      <c r="AV59" s="105"/>
      <c r="AW59" s="1" t="s">
        <v>91</v>
      </c>
    </row>
    <row r="60" spans="1:56" ht="13.5" customHeight="1">
      <c r="A60" s="133"/>
      <c r="B60" s="165"/>
      <c r="C60" s="373"/>
      <c r="D60" s="687">
        <f t="shared" si="8"/>
        <v>0</v>
      </c>
      <c r="E60" s="688"/>
      <c r="F60" s="689"/>
      <c r="G60" s="690">
        <f t="shared" si="9"/>
        <v>0</v>
      </c>
      <c r="H60" s="691"/>
      <c r="I60" s="692"/>
      <c r="J60" s="643" t="str">
        <f t="shared" si="10"/>
        <v/>
      </c>
      <c r="K60" s="644"/>
      <c r="L60" s="650" t="str">
        <f t="shared" si="11"/>
        <v/>
      </c>
      <c r="M60" s="651"/>
      <c r="N60" s="927">
        <f t="shared" si="12"/>
        <v>0</v>
      </c>
      <c r="O60" s="928"/>
      <c r="P60" s="928"/>
      <c r="Q60" s="928"/>
      <c r="R60" s="929"/>
      <c r="S60" s="44"/>
      <c r="T60" s="44">
        <f t="shared" si="7"/>
        <v>12</v>
      </c>
    </row>
    <row r="61" spans="1:56" ht="13.5" customHeight="1">
      <c r="A61" s="133"/>
      <c r="B61" s="165"/>
      <c r="C61" s="373"/>
      <c r="D61" s="687">
        <f t="shared" si="8"/>
        <v>0</v>
      </c>
      <c r="E61" s="688"/>
      <c r="F61" s="689"/>
      <c r="G61" s="690">
        <f t="shared" si="9"/>
        <v>0</v>
      </c>
      <c r="H61" s="691"/>
      <c r="I61" s="692"/>
      <c r="J61" s="643" t="str">
        <f t="shared" si="10"/>
        <v/>
      </c>
      <c r="K61" s="644"/>
      <c r="L61" s="650" t="str">
        <f t="shared" si="11"/>
        <v/>
      </c>
      <c r="M61" s="651"/>
      <c r="N61" s="697">
        <f t="shared" si="12"/>
        <v>0</v>
      </c>
      <c r="O61" s="698"/>
      <c r="P61" s="698"/>
      <c r="Q61" s="698"/>
      <c r="R61" s="699"/>
      <c r="S61" s="44"/>
      <c r="T61" s="44">
        <f t="shared" si="7"/>
        <v>13</v>
      </c>
      <c r="AL61" s="276" t="s">
        <v>313</v>
      </c>
      <c r="AM61" s="5"/>
      <c r="AN61" s="5" t="s">
        <v>35</v>
      </c>
      <c r="AO61" s="5"/>
      <c r="AP61" s="171"/>
      <c r="AQ61" s="171"/>
      <c r="AR61" s="171"/>
      <c r="AS61" s="171"/>
      <c r="AT61" s="171"/>
      <c r="AU61" s="171"/>
      <c r="AV61" s="171"/>
      <c r="AW61" s="171"/>
      <c r="AX61" s="12"/>
      <c r="AY61" s="12"/>
      <c r="AZ61" s="12"/>
      <c r="BA61" s="12"/>
      <c r="BB61" s="172"/>
      <c r="BC61" s="172"/>
      <c r="BD61" s="172"/>
    </row>
    <row r="62" spans="1:56" ht="13.5" customHeight="1">
      <c r="A62" s="133"/>
      <c r="B62" s="165"/>
      <c r="C62" s="373"/>
      <c r="D62" s="613" t="s">
        <v>30</v>
      </c>
      <c r="E62" s="614"/>
      <c r="F62" s="615"/>
      <c r="G62" s="616">
        <f t="shared" si="9"/>
        <v>0</v>
      </c>
      <c r="H62" s="617"/>
      <c r="I62" s="617"/>
      <c r="J62" s="174"/>
      <c r="K62" s="135"/>
      <c r="L62" s="656">
        <f t="shared" si="11"/>
        <v>0</v>
      </c>
      <c r="M62" s="657"/>
      <c r="N62" s="658"/>
      <c r="O62" s="659"/>
      <c r="P62" s="659"/>
      <c r="Q62" s="659"/>
      <c r="R62" s="660"/>
      <c r="S62" s="44"/>
      <c r="T62" s="44">
        <f t="shared" si="7"/>
        <v>14</v>
      </c>
      <c r="AL62" s="5"/>
      <c r="AM62" s="5"/>
      <c r="AN62" s="270"/>
      <c r="AO62" s="5" t="s">
        <v>37</v>
      </c>
      <c r="AP62" s="5"/>
      <c r="AQ62" s="5"/>
      <c r="AR62" s="5"/>
      <c r="AS62" s="562" t="str">
        <f>"年超過確率 1/10"</f>
        <v>年超過確率 1/10</v>
      </c>
      <c r="AT62" s="563"/>
      <c r="AU62" s="563"/>
      <c r="AV62" s="563"/>
      <c r="AW62" s="563"/>
      <c r="AX62" s="563"/>
      <c r="AY62" s="563"/>
      <c r="AZ62" s="563"/>
      <c r="BA62" s="563"/>
      <c r="BB62" s="271"/>
      <c r="BC62" s="271"/>
      <c r="BD62" s="5"/>
    </row>
    <row r="63" spans="1:56" ht="13.5" customHeight="1">
      <c r="A63" s="133"/>
      <c r="B63" s="165"/>
      <c r="C63" s="373" t="s">
        <v>784</v>
      </c>
      <c r="D63" s="165" t="s">
        <v>31</v>
      </c>
      <c r="E63" s="165"/>
      <c r="F63" s="165"/>
      <c r="G63" s="165"/>
      <c r="H63" s="165"/>
      <c r="I63" s="165"/>
      <c r="J63" s="165"/>
      <c r="K63" s="165"/>
      <c r="L63" s="151" t="s">
        <v>21</v>
      </c>
      <c r="M63" s="652">
        <f>M16</f>
        <v>0</v>
      </c>
      <c r="N63" s="652"/>
      <c r="O63" s="165" t="s">
        <v>22</v>
      </c>
      <c r="P63" s="151"/>
      <c r="Q63" s="165"/>
      <c r="R63" s="165"/>
      <c r="S63" s="44"/>
      <c r="T63" s="44">
        <f t="shared" si="7"/>
        <v>15</v>
      </c>
      <c r="AL63" s="5"/>
      <c r="AM63" s="5"/>
      <c r="AN63" s="4"/>
      <c r="AO63" s="4" t="s">
        <v>38</v>
      </c>
      <c r="AP63" s="4"/>
      <c r="AQ63" s="4"/>
      <c r="AR63" s="272"/>
      <c r="AS63" s="562" t="s">
        <v>39</v>
      </c>
      <c r="AT63" s="562"/>
      <c r="AU63" s="564">
        <f>VLOOKUP($AS$62,計画降雨名称・定数,2,FALSE)</f>
        <v>1695</v>
      </c>
      <c r="AV63" s="564"/>
      <c r="AW63" s="564"/>
      <c r="AX63" s="564"/>
      <c r="AY63" s="564"/>
      <c r="AZ63" s="564"/>
      <c r="BA63" s="564"/>
      <c r="BB63" s="4"/>
      <c r="BC63" s="4"/>
      <c r="BD63" s="5"/>
    </row>
    <row r="64" spans="1:56" ht="14.25">
      <c r="A64" s="133"/>
      <c r="B64" s="165"/>
      <c r="C64" s="165"/>
      <c r="D64" s="621" t="s">
        <v>23</v>
      </c>
      <c r="E64" s="622"/>
      <c r="F64" s="623"/>
      <c r="G64" s="653" t="s">
        <v>32</v>
      </c>
      <c r="H64" s="654"/>
      <c r="I64" s="655"/>
      <c r="J64" s="621" t="s">
        <v>25</v>
      </c>
      <c r="K64" s="623"/>
      <c r="L64" s="621" t="s">
        <v>26</v>
      </c>
      <c r="M64" s="623"/>
      <c r="N64" s="621" t="s">
        <v>27</v>
      </c>
      <c r="O64" s="622"/>
      <c r="P64" s="622"/>
      <c r="Q64" s="622"/>
      <c r="R64" s="623"/>
      <c r="S64" s="44"/>
      <c r="T64" s="44">
        <f t="shared" si="7"/>
        <v>16</v>
      </c>
      <c r="AK64" s="12"/>
      <c r="AL64" s="5"/>
      <c r="AM64" s="5"/>
      <c r="AN64" s="4"/>
      <c r="AO64" s="4"/>
      <c r="AP64" s="4"/>
      <c r="AQ64" s="4"/>
      <c r="AR64" s="272"/>
      <c r="AS64" s="562"/>
      <c r="AT64" s="562"/>
      <c r="AU64" s="273" t="s">
        <v>40</v>
      </c>
      <c r="AV64" s="4" t="s">
        <v>391</v>
      </c>
      <c r="AW64" s="274">
        <f>VLOOKUP($AS$62,計画降雨名称・定数,4,FALSE)</f>
        <v>0.75</v>
      </c>
      <c r="AX64" s="273" t="s">
        <v>42</v>
      </c>
      <c r="AY64" s="772">
        <f>VLOOKUP($AS$62,計画降雨名称・定数,3,FALSE)</f>
        <v>10</v>
      </c>
      <c r="AZ64" s="772"/>
      <c r="BA64" s="273" t="s">
        <v>43</v>
      </c>
      <c r="BB64" s="4"/>
      <c r="BC64" s="4"/>
      <c r="BD64" s="5"/>
    </row>
    <row r="65" spans="1:56" ht="14.25">
      <c r="A65" s="133"/>
      <c r="B65" s="165"/>
      <c r="C65" s="165"/>
      <c r="D65" s="674">
        <f>D18</f>
        <v>0</v>
      </c>
      <c r="E65" s="675"/>
      <c r="F65" s="676"/>
      <c r="G65" s="677">
        <f>G18</f>
        <v>0</v>
      </c>
      <c r="H65" s="678"/>
      <c r="I65" s="679"/>
      <c r="J65" s="630" t="str">
        <f>J18</f>
        <v/>
      </c>
      <c r="K65" s="631"/>
      <c r="L65" s="632" t="str">
        <f>L18</f>
        <v/>
      </c>
      <c r="M65" s="633"/>
      <c r="N65" s="684">
        <f>N18</f>
        <v>0</v>
      </c>
      <c r="O65" s="685"/>
      <c r="P65" s="685"/>
      <c r="Q65" s="685"/>
      <c r="R65" s="686"/>
      <c r="S65" s="44"/>
      <c r="T65" s="44">
        <f t="shared" si="7"/>
        <v>17</v>
      </c>
      <c r="AK65" s="12"/>
      <c r="AL65" s="6"/>
      <c r="AM65" s="6"/>
      <c r="AN65" s="6"/>
      <c r="AO65" s="6"/>
      <c r="AP65" s="6"/>
      <c r="AQ65" s="6"/>
      <c r="AR65" s="6"/>
      <c r="AS65" s="6"/>
      <c r="AT65" s="6"/>
      <c r="AU65" s="6"/>
      <c r="AV65" s="6"/>
      <c r="AW65" s="6"/>
      <c r="AX65" s="6"/>
      <c r="AY65" s="6"/>
      <c r="AZ65" s="6"/>
      <c r="BA65" s="6"/>
      <c r="BB65" s="6"/>
      <c r="BC65" s="6"/>
      <c r="BD65" s="6"/>
    </row>
    <row r="66" spans="1:56" ht="14.25">
      <c r="A66" s="133"/>
      <c r="B66" s="165"/>
      <c r="C66" s="165"/>
      <c r="D66" s="687">
        <f>D19</f>
        <v>0</v>
      </c>
      <c r="E66" s="688"/>
      <c r="F66" s="689"/>
      <c r="G66" s="690">
        <f>G19</f>
        <v>0</v>
      </c>
      <c r="H66" s="691"/>
      <c r="I66" s="692"/>
      <c r="J66" s="643" t="str">
        <f>J19</f>
        <v/>
      </c>
      <c r="K66" s="790"/>
      <c r="L66" s="645" t="str">
        <f>L19</f>
        <v/>
      </c>
      <c r="M66" s="646"/>
      <c r="N66" s="697">
        <f>N19</f>
        <v>0</v>
      </c>
      <c r="O66" s="698"/>
      <c r="P66" s="698"/>
      <c r="Q66" s="698"/>
      <c r="R66" s="699"/>
      <c r="S66" s="44"/>
      <c r="T66" s="44">
        <f t="shared" si="7"/>
        <v>18</v>
      </c>
      <c r="AK66" s="12"/>
      <c r="AL66" s="5"/>
      <c r="AM66" s="5"/>
      <c r="AN66" s="5"/>
      <c r="AO66" s="5"/>
      <c r="AP66" s="5"/>
      <c r="AQ66" s="12"/>
      <c r="AR66" s="12"/>
      <c r="AS66" s="12"/>
      <c r="AT66" s="12"/>
      <c r="AU66" s="12"/>
      <c r="AV66" s="12"/>
      <c r="AW66" s="12"/>
      <c r="AX66" s="12"/>
      <c r="AY66" s="12"/>
      <c r="AZ66" s="12"/>
      <c r="BA66" s="12"/>
      <c r="BB66" s="12"/>
      <c r="BC66" s="12"/>
      <c r="BD66" s="5"/>
    </row>
    <row r="67" spans="1:56" ht="14.25">
      <c r="A67" s="133"/>
      <c r="B67" s="165"/>
      <c r="C67" s="165"/>
      <c r="D67" s="716">
        <f>D20</f>
        <v>0</v>
      </c>
      <c r="E67" s="717"/>
      <c r="F67" s="718"/>
      <c r="G67" s="719">
        <f>G20</f>
        <v>0</v>
      </c>
      <c r="H67" s="720"/>
      <c r="I67" s="721"/>
      <c r="J67" s="606" t="str">
        <f>J20</f>
        <v/>
      </c>
      <c r="K67" s="664"/>
      <c r="L67" s="608" t="str">
        <f>L20</f>
        <v/>
      </c>
      <c r="M67" s="609"/>
      <c r="N67" s="726">
        <f>N20</f>
        <v>0</v>
      </c>
      <c r="O67" s="727"/>
      <c r="P67" s="727"/>
      <c r="Q67" s="727"/>
      <c r="R67" s="728"/>
      <c r="S67" s="44"/>
      <c r="T67" s="44">
        <f t="shared" si="7"/>
        <v>19</v>
      </c>
      <c r="AL67" s="276" t="s">
        <v>310</v>
      </c>
      <c r="AM67" s="5"/>
      <c r="AN67" s="5"/>
      <c r="AO67" s="5"/>
      <c r="AP67" s="5"/>
      <c r="AQ67" s="5"/>
      <c r="AR67" s="5"/>
      <c r="AS67" s="5"/>
      <c r="AT67" s="4" t="s">
        <v>74</v>
      </c>
      <c r="AU67" s="275" t="s">
        <v>75</v>
      </c>
      <c r="AV67" s="771" t="e">
        <f>ROUND(($AO$57-$AS$42)*$AV$57*60*($M$7*$G$15/10000)/360,2)</f>
        <v>#VALUE!</v>
      </c>
      <c r="AW67" s="771"/>
      <c r="AX67" s="5" t="s">
        <v>76</v>
      </c>
      <c r="AY67" s="5"/>
      <c r="AZ67" s="5"/>
      <c r="BA67" s="5"/>
      <c r="BB67" s="5"/>
      <c r="BC67" s="5"/>
      <c r="BD67" s="5"/>
    </row>
    <row r="68" spans="1:56" ht="14.25">
      <c r="A68" s="133"/>
      <c r="B68" s="165"/>
      <c r="C68" s="165"/>
      <c r="D68" s="613" t="s">
        <v>30</v>
      </c>
      <c r="E68" s="614"/>
      <c r="F68" s="615"/>
      <c r="G68" s="616">
        <f>G21</f>
        <v>0</v>
      </c>
      <c r="H68" s="617"/>
      <c r="I68" s="618"/>
      <c r="J68" s="613"/>
      <c r="K68" s="615"/>
      <c r="L68" s="619">
        <f>L21</f>
        <v>0</v>
      </c>
      <c r="M68" s="620"/>
      <c r="N68" s="621"/>
      <c r="O68" s="622"/>
      <c r="P68" s="622"/>
      <c r="Q68" s="622"/>
      <c r="R68" s="623"/>
      <c r="S68" s="44"/>
      <c r="T68" s="44">
        <f t="shared" si="7"/>
        <v>20</v>
      </c>
      <c r="AL68" s="5"/>
      <c r="AM68" s="5"/>
      <c r="AN68" s="5"/>
      <c r="AO68" s="5"/>
      <c r="AP68" s="5"/>
      <c r="AQ68" s="5"/>
      <c r="AR68" s="5"/>
      <c r="AS68" s="5"/>
      <c r="AT68" s="5"/>
      <c r="AU68" s="5"/>
      <c r="AV68" s="5"/>
      <c r="AW68" s="5"/>
      <c r="AX68" s="5"/>
      <c r="AY68" s="5"/>
      <c r="AZ68" s="5"/>
      <c r="BA68" s="5"/>
      <c r="BB68" s="5"/>
      <c r="BC68" s="5"/>
      <c r="BD68" s="5"/>
    </row>
    <row r="69" spans="1:56" ht="14.25">
      <c r="A69" s="133"/>
      <c r="B69" s="165"/>
      <c r="C69" s="165"/>
      <c r="D69" s="165"/>
      <c r="E69" s="165"/>
      <c r="F69" s="165"/>
      <c r="G69" s="165"/>
      <c r="H69" s="165"/>
      <c r="I69" s="165"/>
      <c r="J69" s="165"/>
      <c r="K69" s="165"/>
      <c r="L69" s="165"/>
      <c r="M69" s="165"/>
      <c r="N69" s="165"/>
      <c r="O69" s="165"/>
      <c r="P69" s="165"/>
      <c r="Q69" s="165"/>
      <c r="R69" s="165"/>
      <c r="S69" s="44"/>
      <c r="T69" s="44">
        <f t="shared" si="7"/>
        <v>21</v>
      </c>
      <c r="AL69" s="277" t="s">
        <v>311</v>
      </c>
      <c r="AM69" s="105"/>
      <c r="AN69" s="105"/>
      <c r="AO69" s="105"/>
      <c r="AP69" s="105"/>
      <c r="AQ69" s="105"/>
      <c r="AR69" s="105"/>
      <c r="AS69" s="105"/>
      <c r="AT69" s="278" t="s">
        <v>80</v>
      </c>
      <c r="AU69" s="279" t="s">
        <v>75</v>
      </c>
      <c r="AV69" s="771">
        <f>ROUND(AS59/10000*G15,2)</f>
        <v>0</v>
      </c>
      <c r="AW69" s="771"/>
      <c r="AX69" s="105" t="s">
        <v>76</v>
      </c>
      <c r="AY69" s="5"/>
      <c r="AZ69" s="5"/>
      <c r="BA69" s="5"/>
      <c r="BB69" s="5"/>
      <c r="BC69" s="5"/>
      <c r="BD69" s="5"/>
    </row>
    <row r="70" spans="1:56" ht="14.25">
      <c r="A70" s="133"/>
      <c r="B70" s="165">
        <v>2</v>
      </c>
      <c r="C70" s="167" t="s">
        <v>44</v>
      </c>
      <c r="D70" s="165"/>
      <c r="E70" s="165"/>
      <c r="F70" s="165"/>
      <c r="G70" s="165"/>
      <c r="H70" s="165"/>
      <c r="I70" s="165"/>
      <c r="J70" s="165"/>
      <c r="K70" s="165"/>
      <c r="L70" s="165"/>
      <c r="M70" s="165"/>
      <c r="N70" s="165"/>
      <c r="O70" s="165"/>
      <c r="P70" s="165"/>
      <c r="Q70" s="165"/>
      <c r="R70" s="165"/>
      <c r="S70" s="44"/>
      <c r="T70" s="44">
        <f t="shared" si="7"/>
        <v>22</v>
      </c>
    </row>
    <row r="71" spans="1:56" ht="14.25">
      <c r="A71" s="133"/>
      <c r="B71" s="165"/>
      <c r="C71" s="373" t="s">
        <v>356</v>
      </c>
      <c r="D71" s="165" t="s">
        <v>730</v>
      </c>
      <c r="E71" s="165"/>
      <c r="F71" s="165"/>
      <c r="G71" s="165"/>
      <c r="H71" s="165"/>
      <c r="I71" s="165"/>
      <c r="J71" s="151" t="s">
        <v>45</v>
      </c>
      <c r="K71" s="835">
        <f>K24</f>
        <v>0.9</v>
      </c>
      <c r="L71" s="835"/>
      <c r="M71" s="835"/>
      <c r="N71" s="165"/>
      <c r="O71" s="165"/>
      <c r="P71" s="166"/>
      <c r="Q71" s="165"/>
      <c r="R71" s="165"/>
      <c r="S71" s="44"/>
      <c r="T71" s="44">
        <f t="shared" si="7"/>
        <v>23</v>
      </c>
    </row>
    <row r="72" spans="1:56" ht="14.25">
      <c r="A72" s="133"/>
      <c r="B72" s="165"/>
      <c r="C72" s="373" t="s">
        <v>357</v>
      </c>
      <c r="D72" s="165" t="s">
        <v>693</v>
      </c>
      <c r="E72" s="165"/>
      <c r="F72" s="165"/>
      <c r="G72" s="165"/>
      <c r="H72" s="165"/>
      <c r="I72" s="165"/>
      <c r="J72" s="151" t="s">
        <v>45</v>
      </c>
      <c r="K72" s="835">
        <f>K25</f>
        <v>0.3</v>
      </c>
      <c r="L72" s="835"/>
      <c r="M72" s="835"/>
      <c r="N72" s="165"/>
      <c r="O72" s="165"/>
      <c r="P72" s="166"/>
      <c r="Q72" s="165"/>
      <c r="R72" s="165"/>
      <c r="S72" s="44"/>
      <c r="T72" s="44">
        <f t="shared" si="7"/>
        <v>24</v>
      </c>
    </row>
    <row r="73" spans="1:56" ht="14.25">
      <c r="A73" s="133"/>
      <c r="B73" s="165"/>
      <c r="C73" s="373" t="s">
        <v>358</v>
      </c>
      <c r="D73" s="167" t="s">
        <v>46</v>
      </c>
      <c r="E73" s="167"/>
      <c r="F73" s="167"/>
      <c r="G73" s="167"/>
      <c r="H73" s="167"/>
      <c r="I73" s="167"/>
      <c r="J73" s="152" t="s">
        <v>47</v>
      </c>
      <c r="K73" s="836">
        <f>K26</f>
        <v>0.02</v>
      </c>
      <c r="L73" s="836"/>
      <c r="M73" s="836"/>
      <c r="N73" s="167"/>
      <c r="O73" s="373"/>
      <c r="P73" s="373"/>
      <c r="Q73" s="373"/>
      <c r="R73" s="151"/>
      <c r="S73" s="44"/>
      <c r="T73" s="44">
        <f t="shared" si="7"/>
        <v>25</v>
      </c>
    </row>
    <row r="74" spans="1:56" ht="14.25">
      <c r="A74" s="133"/>
      <c r="B74" s="165"/>
      <c r="C74" s="373" t="s">
        <v>359</v>
      </c>
      <c r="D74" s="167" t="s">
        <v>48</v>
      </c>
      <c r="E74" s="167"/>
      <c r="F74" s="167"/>
      <c r="G74" s="167"/>
      <c r="H74" s="167"/>
      <c r="I74" s="167"/>
      <c r="J74" s="152" t="s">
        <v>49</v>
      </c>
      <c r="K74" s="836" t="str">
        <f>K27</f>
        <v>1.0m未満</v>
      </c>
      <c r="L74" s="836"/>
      <c r="M74" s="836"/>
      <c r="N74" s="167"/>
      <c r="O74" s="151"/>
      <c r="P74" s="151"/>
      <c r="Q74" s="151"/>
      <c r="R74" s="151"/>
      <c r="S74" s="44"/>
      <c r="T74" s="44">
        <f t="shared" si="7"/>
        <v>26</v>
      </c>
    </row>
    <row r="75" spans="1:56" ht="14.25">
      <c r="A75" s="133"/>
      <c r="B75" s="165"/>
      <c r="C75" s="373" t="s">
        <v>360</v>
      </c>
      <c r="D75" s="165" t="s">
        <v>731</v>
      </c>
      <c r="E75" s="165"/>
      <c r="F75" s="165"/>
      <c r="G75" s="165"/>
      <c r="H75" s="165"/>
      <c r="I75" s="151"/>
      <c r="J75" s="151"/>
      <c r="K75" s="835" t="str">
        <f>K28</f>
        <v>砕石</v>
      </c>
      <c r="L75" s="835"/>
      <c r="M75" s="835"/>
      <c r="N75" s="151"/>
      <c r="O75" s="152"/>
      <c r="P75" s="151"/>
      <c r="Q75" s="165"/>
      <c r="S75" s="44"/>
      <c r="T75" s="44">
        <f t="shared" si="7"/>
        <v>27</v>
      </c>
    </row>
    <row r="76" spans="1:56" ht="14.25">
      <c r="A76" s="133"/>
      <c r="B76" s="165"/>
      <c r="C76" s="373" t="s">
        <v>364</v>
      </c>
      <c r="D76" s="167" t="s">
        <v>754</v>
      </c>
      <c r="E76" s="167"/>
      <c r="F76" s="167"/>
      <c r="G76" s="167"/>
      <c r="H76" s="167"/>
      <c r="I76" s="167"/>
      <c r="J76" s="373"/>
      <c r="K76" s="373"/>
      <c r="L76" s="373"/>
      <c r="M76" s="152"/>
      <c r="N76" s="152"/>
      <c r="O76" s="163"/>
      <c r="P76" s="163"/>
      <c r="Q76" s="152"/>
      <c r="R76" s="164"/>
      <c r="S76" s="44"/>
      <c r="T76" s="44">
        <f t="shared" si="7"/>
        <v>28</v>
      </c>
    </row>
    <row r="77" spans="1:56" ht="14.25">
      <c r="A77" s="133"/>
      <c r="B77" s="165"/>
      <c r="C77" s="373"/>
      <c r="D77" s="580" t="s">
        <v>647</v>
      </c>
      <c r="E77" s="580"/>
      <c r="F77" s="580"/>
      <c r="G77" s="580"/>
      <c r="H77" s="580"/>
      <c r="I77" s="774" t="s">
        <v>648</v>
      </c>
      <c r="J77" s="774"/>
      <c r="K77" s="774" t="s">
        <v>669</v>
      </c>
      <c r="L77" s="774"/>
      <c r="M77" s="925" t="s">
        <v>682</v>
      </c>
      <c r="N77" s="925"/>
      <c r="O77" s="925" t="s">
        <v>670</v>
      </c>
      <c r="P77" s="925"/>
      <c r="Q77" s="575" t="s">
        <v>650</v>
      </c>
      <c r="R77" s="576"/>
      <c r="S77" s="44"/>
      <c r="T77" s="44">
        <f t="shared" si="7"/>
        <v>29</v>
      </c>
    </row>
    <row r="78" spans="1:56" ht="14.25">
      <c r="A78" s="133"/>
      <c r="B78" s="165"/>
      <c r="C78" s="373"/>
      <c r="D78" s="580"/>
      <c r="E78" s="580"/>
      <c r="F78" s="580"/>
      <c r="G78" s="580"/>
      <c r="H78" s="580"/>
      <c r="I78" s="775" t="s">
        <v>651</v>
      </c>
      <c r="J78" s="775"/>
      <c r="K78" s="926" t="s">
        <v>295</v>
      </c>
      <c r="L78" s="926"/>
      <c r="M78" s="775" t="s">
        <v>683</v>
      </c>
      <c r="N78" s="775"/>
      <c r="O78" s="775" t="s">
        <v>671</v>
      </c>
      <c r="P78" s="775"/>
      <c r="Q78" s="577" t="s">
        <v>653</v>
      </c>
      <c r="R78" s="578"/>
      <c r="S78" s="44"/>
      <c r="T78" s="44">
        <f t="shared" si="7"/>
        <v>30</v>
      </c>
    </row>
    <row r="79" spans="1:56" ht="14.25">
      <c r="A79" s="133"/>
      <c r="B79" s="165"/>
      <c r="C79" s="373"/>
      <c r="D79" s="915" t="str">
        <f>D32</f>
        <v>矩形ます(側面・底面浸透)</v>
      </c>
      <c r="E79" s="915"/>
      <c r="F79" s="915"/>
      <c r="G79" s="915"/>
      <c r="H79" s="915"/>
      <c r="I79" s="823">
        <f>I32</f>
        <v>0</v>
      </c>
      <c r="J79" s="823"/>
      <c r="K79" s="824">
        <f>K32</f>
        <v>0</v>
      </c>
      <c r="L79" s="824"/>
      <c r="M79" s="918" t="str">
        <f>M32</f>
        <v>-</v>
      </c>
      <c r="N79" s="918"/>
      <c r="O79" s="825">
        <f>O32</f>
        <v>0</v>
      </c>
      <c r="P79" s="825"/>
      <c r="Q79" s="916">
        <f>Q32</f>
        <v>1</v>
      </c>
      <c r="R79" s="917"/>
      <c r="S79" s="44"/>
      <c r="T79" s="44">
        <f t="shared" si="7"/>
        <v>31</v>
      </c>
    </row>
    <row r="80" spans="1:56" ht="14.25">
      <c r="A80" s="133"/>
      <c r="B80" s="165"/>
      <c r="C80" s="373"/>
      <c r="D80" s="820" t="s">
        <v>684</v>
      </c>
      <c r="E80" s="821"/>
      <c r="F80" s="821"/>
      <c r="G80" s="821"/>
      <c r="H80" s="822"/>
      <c r="I80" s="919">
        <f>I33</f>
        <v>0.6</v>
      </c>
      <c r="J80" s="920"/>
      <c r="K80" s="921">
        <f>K33</f>
        <v>0.45</v>
      </c>
      <c r="L80" s="922"/>
      <c r="M80" s="923">
        <f>M33</f>
        <v>0.15</v>
      </c>
      <c r="N80" s="923"/>
      <c r="O80" s="825">
        <f>O33</f>
        <v>0</v>
      </c>
      <c r="P80" s="825"/>
      <c r="Q80" s="924">
        <f>Q33</f>
        <v>1</v>
      </c>
      <c r="R80" s="924"/>
      <c r="S80" s="44"/>
      <c r="T80" s="44">
        <f t="shared" si="7"/>
        <v>32</v>
      </c>
    </row>
    <row r="81" spans="1:21" ht="14.25">
      <c r="A81" s="133"/>
      <c r="B81" s="165"/>
      <c r="C81" s="373"/>
      <c r="D81" s="820" t="s">
        <v>685</v>
      </c>
      <c r="E81" s="821"/>
      <c r="F81" s="821"/>
      <c r="G81" s="821"/>
      <c r="H81" s="822"/>
      <c r="I81" s="919">
        <f>I34</f>
        <v>0.7</v>
      </c>
      <c r="J81" s="920"/>
      <c r="K81" s="921">
        <f>K34</f>
        <v>0.7</v>
      </c>
      <c r="L81" s="922"/>
      <c r="M81" s="923">
        <f>M34</f>
        <v>0.3</v>
      </c>
      <c r="N81" s="923"/>
      <c r="O81" s="918" t="str">
        <f>O34</f>
        <v>-</v>
      </c>
      <c r="P81" s="918"/>
      <c r="Q81" s="839">
        <f>Q34</f>
        <v>0</v>
      </c>
      <c r="R81" s="839"/>
      <c r="S81" s="44"/>
      <c r="T81" s="44">
        <f t="shared" si="7"/>
        <v>33</v>
      </c>
    </row>
    <row r="82" spans="1:21" ht="14.25">
      <c r="A82" s="133"/>
      <c r="B82" s="165"/>
      <c r="C82" s="373" t="s">
        <v>339</v>
      </c>
      <c r="D82" s="165" t="s">
        <v>655</v>
      </c>
      <c r="E82" s="165"/>
      <c r="F82" s="165"/>
      <c r="G82" s="165"/>
      <c r="H82" s="165"/>
      <c r="I82" s="165"/>
      <c r="J82" s="753" t="str">
        <f>J35</f>
        <v>市道路排水施設</v>
      </c>
      <c r="K82" s="753"/>
      <c r="L82" s="753"/>
      <c r="M82" s="753"/>
      <c r="N82" s="753"/>
      <c r="O82" s="149">
        <f>O35</f>
        <v>0</v>
      </c>
      <c r="P82" s="165"/>
      <c r="Q82" s="165"/>
      <c r="R82" s="165"/>
      <c r="S82" s="44"/>
      <c r="T82" s="44">
        <f t="shared" si="7"/>
        <v>34</v>
      </c>
    </row>
    <row r="83" spans="1:21" ht="14.25">
      <c r="A83" s="133"/>
      <c r="B83" s="165"/>
      <c r="C83" s="167"/>
      <c r="D83" s="165"/>
      <c r="E83" s="165"/>
      <c r="F83" s="165"/>
      <c r="G83" s="165"/>
      <c r="H83" s="165"/>
      <c r="I83" s="165"/>
      <c r="J83" s="165"/>
      <c r="K83" s="165"/>
      <c r="L83" s="165"/>
      <c r="M83" s="165"/>
      <c r="N83" s="165"/>
      <c r="O83" s="165"/>
      <c r="P83" s="165"/>
      <c r="Q83" s="165"/>
      <c r="R83" s="165"/>
      <c r="S83" s="44"/>
      <c r="T83" s="44">
        <f t="shared" si="7"/>
        <v>35</v>
      </c>
    </row>
    <row r="84" spans="1:21" ht="14.25">
      <c r="A84" s="133"/>
      <c r="B84" s="165">
        <v>3</v>
      </c>
      <c r="C84" s="167" t="s">
        <v>61</v>
      </c>
      <c r="D84" s="165"/>
      <c r="E84" s="165"/>
      <c r="F84" s="165"/>
      <c r="G84" s="165"/>
      <c r="H84" s="165"/>
      <c r="I84" s="165"/>
      <c r="J84" s="165"/>
      <c r="K84" s="165"/>
      <c r="L84" s="165"/>
      <c r="M84" s="165"/>
      <c r="N84" s="165"/>
      <c r="O84" s="165"/>
      <c r="P84" s="165"/>
      <c r="Q84" s="165"/>
      <c r="R84" s="165"/>
      <c r="S84" s="44"/>
      <c r="T84" s="44">
        <f t="shared" si="7"/>
        <v>36</v>
      </c>
    </row>
    <row r="85" spans="1:21" ht="14.25">
      <c r="A85" s="133"/>
      <c r="B85" s="165"/>
      <c r="C85" s="373" t="s">
        <v>771</v>
      </c>
      <c r="D85" s="165" t="s">
        <v>125</v>
      </c>
      <c r="E85" s="165"/>
      <c r="F85" s="165"/>
      <c r="G85" s="165"/>
      <c r="H85" s="165"/>
      <c r="I85" s="165"/>
      <c r="J85" s="165"/>
      <c r="K85" s="165"/>
      <c r="L85" s="138" t="s">
        <v>69</v>
      </c>
      <c r="M85" s="751">
        <f>K38</f>
        <v>2.5000000000000001E-2</v>
      </c>
      <c r="N85" s="751"/>
      <c r="O85" s="138" t="s">
        <v>70</v>
      </c>
      <c r="P85" s="165"/>
      <c r="Q85" s="165" t="str">
        <f>O38</f>
        <v>※入力不要</v>
      </c>
      <c r="R85" s="187"/>
      <c r="S85" s="44"/>
      <c r="T85" s="44">
        <f t="shared" si="7"/>
        <v>37</v>
      </c>
    </row>
    <row r="86" spans="1:21" ht="14.25">
      <c r="A86" s="133"/>
      <c r="B86" s="165"/>
      <c r="C86" s="165"/>
      <c r="D86" s="165"/>
      <c r="E86" s="165"/>
      <c r="F86" s="165"/>
      <c r="G86" s="165"/>
      <c r="H86" s="165"/>
      <c r="I86" s="165"/>
      <c r="J86" s="165"/>
      <c r="K86" s="165"/>
      <c r="L86" s="165"/>
      <c r="M86" s="165"/>
      <c r="N86" s="165"/>
      <c r="O86" s="165"/>
      <c r="P86" s="165"/>
      <c r="Q86" s="165"/>
      <c r="R86" s="165"/>
      <c r="S86" s="44"/>
      <c r="T86" s="44">
        <f t="shared" si="7"/>
        <v>38</v>
      </c>
    </row>
    <row r="87" spans="1:21" ht="14.25">
      <c r="A87" s="133"/>
      <c r="B87" s="139" t="s">
        <v>637</v>
      </c>
      <c r="C87" s="139"/>
      <c r="D87" s="139"/>
      <c r="E87" s="165"/>
      <c r="F87" s="165"/>
      <c r="G87" s="165"/>
      <c r="H87" s="165"/>
      <c r="I87" s="175"/>
      <c r="J87" s="140"/>
      <c r="K87" s="368"/>
      <c r="L87" s="368"/>
      <c r="M87" s="139"/>
      <c r="N87" s="165"/>
      <c r="O87" s="165"/>
      <c r="P87" s="165"/>
      <c r="Q87" s="165"/>
      <c r="R87" s="165"/>
      <c r="S87" s="44"/>
      <c r="T87" s="44">
        <f t="shared" si="7"/>
        <v>39</v>
      </c>
    </row>
    <row r="88" spans="1:21" ht="14.25">
      <c r="A88" s="133"/>
      <c r="B88" s="104"/>
      <c r="C88" s="95"/>
      <c r="D88" s="96"/>
      <c r="E88" s="96"/>
      <c r="F88" s="96"/>
      <c r="G88" s="96"/>
      <c r="H88" s="426" t="s">
        <v>210</v>
      </c>
      <c r="I88" s="426"/>
      <c r="J88" s="424"/>
      <c r="K88" s="426" t="s">
        <v>211</v>
      </c>
      <c r="L88" s="426"/>
      <c r="M88" s="426"/>
      <c r="N88" s="425" t="s">
        <v>212</v>
      </c>
      <c r="O88" s="426"/>
      <c r="P88" s="426"/>
      <c r="Q88" s="451" t="s">
        <v>213</v>
      </c>
      <c r="R88" s="452"/>
      <c r="S88" s="44"/>
      <c r="T88" s="44">
        <f t="shared" si="7"/>
        <v>40</v>
      </c>
    </row>
    <row r="89" spans="1:21" ht="14.25">
      <c r="A89" s="133"/>
      <c r="B89" s="104"/>
      <c r="C89" s="98"/>
      <c r="D89" s="99"/>
      <c r="E89" s="99"/>
      <c r="F89" s="99"/>
      <c r="G89" s="99"/>
      <c r="H89" s="451"/>
      <c r="I89" s="453"/>
      <c r="J89" s="453"/>
      <c r="K89" s="451"/>
      <c r="L89" s="453"/>
      <c r="M89" s="452"/>
      <c r="N89" s="451"/>
      <c r="O89" s="453"/>
      <c r="P89" s="452"/>
      <c r="Q89" s="451"/>
      <c r="R89" s="452"/>
      <c r="S89" s="44"/>
      <c r="T89" s="44">
        <f t="shared" si="7"/>
        <v>41</v>
      </c>
    </row>
    <row r="90" spans="1:21" ht="14.25">
      <c r="A90" s="133"/>
      <c r="B90" s="104"/>
      <c r="C90" s="101" t="s">
        <v>662</v>
      </c>
      <c r="D90" s="70"/>
      <c r="E90" s="70"/>
      <c r="F90" s="70"/>
      <c r="G90" s="70"/>
      <c r="H90" s="466">
        <f>H43</f>
        <v>0</v>
      </c>
      <c r="I90" s="467"/>
      <c r="J90" s="467"/>
      <c r="K90" s="466" t="str">
        <f>K43</f>
        <v>-</v>
      </c>
      <c r="L90" s="467"/>
      <c r="M90" s="467"/>
      <c r="N90" s="466">
        <f>N43</f>
        <v>0</v>
      </c>
      <c r="O90" s="467"/>
      <c r="P90" s="468"/>
      <c r="Q90" s="456" t="str">
        <f>Q43</f>
        <v>ＯＫ</v>
      </c>
      <c r="R90" s="457"/>
      <c r="S90" s="44"/>
      <c r="T90" s="44">
        <f t="shared" si="7"/>
        <v>42</v>
      </c>
    </row>
    <row r="91" spans="1:21" ht="14.25">
      <c r="A91" s="133"/>
      <c r="B91" s="104"/>
      <c r="C91" s="98"/>
      <c r="D91" s="99"/>
      <c r="E91" s="99"/>
      <c r="F91" s="99"/>
      <c r="G91" s="99"/>
      <c r="H91" s="451"/>
      <c r="I91" s="453"/>
      <c r="J91" s="453"/>
      <c r="K91" s="451" t="str">
        <f>K44</f>
        <v/>
      </c>
      <c r="L91" s="453"/>
      <c r="M91" s="452"/>
      <c r="N91" s="451"/>
      <c r="O91" s="453"/>
      <c r="P91" s="452"/>
      <c r="Q91" s="458"/>
      <c r="R91" s="460"/>
      <c r="S91" s="44"/>
      <c r="T91" s="44">
        <f t="shared" si="7"/>
        <v>43</v>
      </c>
    </row>
    <row r="92" spans="1:21" ht="14.25">
      <c r="A92" s="133"/>
      <c r="B92" s="104"/>
      <c r="C92" s="101" t="s">
        <v>663</v>
      </c>
      <c r="D92" s="70"/>
      <c r="E92" s="70"/>
      <c r="F92" s="70"/>
      <c r="G92" s="70"/>
      <c r="H92" s="476" t="str">
        <f>H45</f>
        <v>-</v>
      </c>
      <c r="I92" s="477"/>
      <c r="J92" s="477"/>
      <c r="K92" s="476" t="e">
        <f>K45</f>
        <v>#VALUE!</v>
      </c>
      <c r="L92" s="477"/>
      <c r="M92" s="478"/>
      <c r="N92" s="476">
        <f>N45</f>
        <v>0</v>
      </c>
      <c r="O92" s="477"/>
      <c r="P92" s="478"/>
      <c r="Q92" s="456" t="e">
        <f>Q45</f>
        <v>#VALUE!</v>
      </c>
      <c r="R92" s="457"/>
      <c r="S92" s="44"/>
      <c r="T92" s="44">
        <f t="shared" si="7"/>
        <v>44</v>
      </c>
    </row>
    <row r="93" spans="1:21" ht="14.25">
      <c r="A93" s="133"/>
      <c r="B93" s="44"/>
      <c r="C93" s="44"/>
      <c r="D93" s="44"/>
      <c r="E93" s="44"/>
      <c r="F93" s="44"/>
      <c r="G93" s="44"/>
      <c r="H93" s="44"/>
      <c r="I93" s="44"/>
      <c r="J93" s="44"/>
      <c r="K93" s="44"/>
      <c r="L93" s="44"/>
      <c r="M93" s="44"/>
      <c r="N93" s="44"/>
      <c r="O93" s="44"/>
      <c r="P93" s="44"/>
      <c r="Q93" s="44"/>
      <c r="R93" s="44"/>
      <c r="S93" s="44"/>
      <c r="T93" s="44">
        <f t="shared" si="7"/>
        <v>45</v>
      </c>
    </row>
    <row r="94" spans="1:21" ht="14.25">
      <c r="A94" s="133"/>
      <c r="B94" s="44"/>
      <c r="C94" s="44"/>
      <c r="D94" s="44"/>
      <c r="E94" s="44"/>
      <c r="F94" s="44"/>
      <c r="G94" s="44"/>
      <c r="H94" s="44"/>
      <c r="I94" s="44"/>
      <c r="J94" s="44"/>
      <c r="K94" s="44"/>
      <c r="L94" s="44"/>
      <c r="M94" s="44"/>
      <c r="N94" s="44"/>
      <c r="O94" s="44"/>
      <c r="P94" s="44"/>
      <c r="Q94" s="44"/>
      <c r="R94" s="44"/>
      <c r="S94" s="44"/>
      <c r="T94" s="44">
        <f t="shared" si="7"/>
        <v>46</v>
      </c>
    </row>
    <row r="95" spans="1:21" ht="14.25">
      <c r="A95" s="134" t="s">
        <v>96</v>
      </c>
      <c r="B95" s="30"/>
      <c r="C95" s="30"/>
      <c r="D95" s="30"/>
      <c r="E95" s="30"/>
      <c r="F95" s="30"/>
      <c r="G95" s="30"/>
      <c r="H95" s="30"/>
      <c r="I95" s="30"/>
      <c r="J95" s="30"/>
      <c r="K95" s="30"/>
      <c r="L95" s="30"/>
      <c r="M95" s="30"/>
      <c r="N95" s="30"/>
      <c r="O95" s="30"/>
      <c r="P95" s="30"/>
      <c r="Q95" s="30"/>
      <c r="R95" s="30"/>
      <c r="S95" s="30"/>
      <c r="T95" s="44">
        <v>1</v>
      </c>
      <c r="U95" s="12"/>
    </row>
    <row r="96" spans="1:21" ht="14.25">
      <c r="A96" s="30"/>
      <c r="B96" s="38" t="str">
        <f>"  　洪水の規模が年超過確率で "&amp;IF(AS62="年超過確率 1/50","1/50",IF(AS62="年超過確率 1/30","1/30",IF(AS62="年超過確率 1/10","1/10",IF(AS62="年超過確率 1/5(長期)","1/5(長期)",IF(AS62="年超過確率 1/5(短期)","1/5(短期)","")))))&amp;" 以下のすべての洪水について開発後における"</f>
        <v xml:space="preserve">  　洪水の規模が年超過確率で 1/10 以下のすべての洪水について開発後における</v>
      </c>
      <c r="C96" s="38"/>
      <c r="D96" s="38"/>
      <c r="E96" s="38"/>
      <c r="F96" s="30"/>
      <c r="G96" s="30"/>
      <c r="H96" s="30"/>
      <c r="I96" s="54"/>
      <c r="J96" s="54"/>
      <c r="K96" s="54"/>
      <c r="L96" s="38"/>
      <c r="M96" s="55"/>
      <c r="N96" s="44"/>
      <c r="O96" s="38"/>
      <c r="P96" s="38"/>
      <c r="Q96" s="38"/>
      <c r="R96" s="30"/>
      <c r="S96" s="30"/>
      <c r="T96" s="44">
        <f t="shared" si="7"/>
        <v>2</v>
      </c>
      <c r="U96" s="44"/>
    </row>
    <row r="97" spans="1:21" ht="14.25">
      <c r="A97" s="30"/>
      <c r="B97" s="38" t="s">
        <v>481</v>
      </c>
      <c r="C97" s="38"/>
      <c r="D97" s="38"/>
      <c r="E97" s="38"/>
      <c r="F97" s="30"/>
      <c r="G97" s="30"/>
      <c r="H97" s="30"/>
      <c r="I97" s="30"/>
      <c r="J97" s="30"/>
      <c r="K97" s="30"/>
      <c r="L97" s="30"/>
      <c r="M97" s="30"/>
      <c r="N97" s="30"/>
      <c r="O97" s="30"/>
      <c r="P97" s="30"/>
      <c r="Q97" s="30"/>
      <c r="R97" s="30"/>
      <c r="S97" s="30"/>
      <c r="T97" s="44">
        <f t="shared" si="7"/>
        <v>3</v>
      </c>
      <c r="U97" s="44"/>
    </row>
    <row r="98" spans="1:21" ht="14.25">
      <c r="A98" s="30"/>
      <c r="B98" s="38" t="str">
        <f>"  　抑制施設の容量は、 "&amp;IF(AS62="年超過確率 1/50","1/50",IF(AS62="年超過確率 1/30","1/30",IF(AS62="年超過確率 1/10","1/10",IF(AS62="年超過確率 1/5(長期)","1/5(長期)",IF(AS62="年超過確率 1/5(短期)","1/5(短期)","")))))&amp;" 確率降雨強度曲線を用いて求める次式の必要洪水調整"</f>
        <v xml:space="preserve">  　抑制施設の容量は、 1/10 確率降雨強度曲線を用いて求める次式の必要洪水調整</v>
      </c>
      <c r="C98" s="38"/>
      <c r="D98" s="38"/>
      <c r="E98" s="38"/>
      <c r="F98" s="30"/>
      <c r="G98" s="30"/>
      <c r="H98" s="30"/>
      <c r="I98" s="54"/>
      <c r="J98" s="54"/>
      <c r="K98" s="54"/>
      <c r="L98" s="38"/>
      <c r="M98" s="55"/>
      <c r="N98" s="44"/>
      <c r="O98" s="38"/>
      <c r="P98" s="38"/>
      <c r="Q98" s="38"/>
      <c r="R98" s="30"/>
      <c r="S98" s="30"/>
      <c r="T98" s="44">
        <f t="shared" si="7"/>
        <v>4</v>
      </c>
      <c r="U98" s="44"/>
    </row>
    <row r="99" spans="1:21" ht="14.25">
      <c r="A99" s="30"/>
      <c r="B99" s="38" t="s">
        <v>471</v>
      </c>
      <c r="C99" s="38"/>
      <c r="D99" s="38"/>
      <c r="E99" s="38"/>
      <c r="F99" s="30"/>
      <c r="G99" s="30"/>
      <c r="H99" s="30"/>
      <c r="I99" s="30"/>
      <c r="J99" s="30"/>
      <c r="K99" s="30"/>
      <c r="L99" s="30"/>
      <c r="M99" s="30"/>
      <c r="N99" s="30"/>
      <c r="O99" s="30"/>
      <c r="P99" s="30"/>
      <c r="Q99" s="30"/>
      <c r="R99" s="30"/>
      <c r="S99" s="30"/>
      <c r="T99" s="44">
        <f t="shared" si="7"/>
        <v>5</v>
      </c>
      <c r="U99" s="44"/>
    </row>
    <row r="100" spans="1:21" ht="14.25">
      <c r="A100" s="30"/>
      <c r="B100" s="356"/>
      <c r="C100" s="356"/>
      <c r="D100" s="356"/>
      <c r="E100" s="356"/>
      <c r="F100" s="356"/>
      <c r="G100" s="31"/>
      <c r="H100" s="346"/>
      <c r="I100" s="31"/>
      <c r="J100" s="31"/>
      <c r="K100" s="31"/>
      <c r="L100" s="31"/>
      <c r="M100" s="31"/>
      <c r="N100" s="31"/>
      <c r="O100" s="31"/>
      <c r="P100" s="346"/>
      <c r="Q100" s="31"/>
      <c r="R100" s="30"/>
      <c r="S100" s="30"/>
      <c r="T100" s="44">
        <f t="shared" si="7"/>
        <v>6</v>
      </c>
      <c r="U100" s="44"/>
    </row>
    <row r="101" spans="1:21" ht="14.25">
      <c r="A101" s="30"/>
      <c r="B101" s="356"/>
      <c r="C101" s="356"/>
      <c r="D101" s="356"/>
      <c r="E101" s="356"/>
      <c r="F101" s="356"/>
      <c r="G101" s="31"/>
      <c r="H101" s="346"/>
      <c r="I101" s="31"/>
      <c r="J101" s="31"/>
      <c r="K101" s="31"/>
      <c r="L101" s="31"/>
      <c r="M101" s="31"/>
      <c r="N101" s="31"/>
      <c r="O101" s="31"/>
      <c r="P101" s="346"/>
      <c r="Q101" s="31"/>
      <c r="R101" s="30"/>
      <c r="S101" s="30"/>
      <c r="T101" s="44">
        <f t="shared" si="7"/>
        <v>7</v>
      </c>
      <c r="U101" s="44"/>
    </row>
    <row r="102" spans="1:21" ht="14.25">
      <c r="A102" s="30"/>
      <c r="B102" s="356"/>
      <c r="C102" s="356"/>
      <c r="D102" s="356"/>
      <c r="E102" s="356"/>
      <c r="F102" s="356"/>
      <c r="G102" s="31"/>
      <c r="H102" s="346"/>
      <c r="I102" s="31"/>
      <c r="J102" s="31"/>
      <c r="K102" s="31"/>
      <c r="L102" s="31"/>
      <c r="M102" s="31"/>
      <c r="N102" s="31"/>
      <c r="O102" s="31"/>
      <c r="P102" s="346"/>
      <c r="Q102" s="31"/>
      <c r="R102" s="30"/>
      <c r="S102" s="30"/>
      <c r="T102" s="44">
        <f t="shared" si="7"/>
        <v>8</v>
      </c>
      <c r="U102" s="44"/>
    </row>
    <row r="103" spans="1:21" ht="14.25">
      <c r="A103" s="30"/>
      <c r="B103" s="356"/>
      <c r="C103" s="356"/>
      <c r="D103" s="356"/>
      <c r="E103" s="356"/>
      <c r="F103" s="356"/>
      <c r="G103" s="31"/>
      <c r="H103" s="346"/>
      <c r="I103" s="31"/>
      <c r="J103" s="31"/>
      <c r="K103" s="31"/>
      <c r="L103" s="31"/>
      <c r="M103" s="31"/>
      <c r="N103" s="31"/>
      <c r="O103" s="31"/>
      <c r="P103" s="346"/>
      <c r="Q103" s="31"/>
      <c r="R103" s="30"/>
      <c r="S103" s="30"/>
      <c r="T103" s="44">
        <f t="shared" si="7"/>
        <v>9</v>
      </c>
      <c r="U103" s="44"/>
    </row>
    <row r="104" spans="1:21" ht="14.25">
      <c r="A104" s="30"/>
      <c r="B104" s="44"/>
      <c r="C104" s="44" t="s">
        <v>100</v>
      </c>
      <c r="D104" s="46"/>
      <c r="E104" s="47" t="s">
        <v>446</v>
      </c>
      <c r="F104" s="285" t="s">
        <v>102</v>
      </c>
      <c r="G104" s="30" t="s">
        <v>447</v>
      </c>
      <c r="H104" s="30"/>
      <c r="I104" s="30"/>
      <c r="J104" s="30"/>
      <c r="K104" s="30"/>
      <c r="L104" s="30"/>
      <c r="M104" s="30"/>
      <c r="N104" s="30"/>
      <c r="O104" s="30"/>
      <c r="P104" s="30"/>
      <c r="Q104" s="30"/>
      <c r="R104" s="30"/>
      <c r="S104" s="30"/>
      <c r="T104" s="44">
        <f t="shared" si="7"/>
        <v>10</v>
      </c>
      <c r="U104" s="44"/>
    </row>
    <row r="105" spans="1:21" ht="14.25">
      <c r="A105" s="30"/>
      <c r="B105" s="44"/>
      <c r="C105" s="44"/>
      <c r="D105" s="46"/>
      <c r="E105" s="47" t="s">
        <v>83</v>
      </c>
      <c r="F105" s="202" t="s">
        <v>102</v>
      </c>
      <c r="G105" s="54" t="str">
        <f>IF(AS62="年超過確率 1/50","1/50",IF(AS62="年超過確率 1/30","1/30",IF(AS62="年超過確率 1/10","1/10",IF(AS62="年超過確率 1/5(長期)","1/5(長期)",IF(AS62="年超過確率 1/5(短期)","1/5(短期)","")))))&amp;" 年確率降雨強度曲線上の任意の継続時間（ti）"</f>
        <v>1/10 年確率降雨強度曲線上の任意の継続時間（ti）</v>
      </c>
      <c r="H105" s="54"/>
      <c r="I105" s="54"/>
      <c r="J105" s="38"/>
      <c r="K105" s="38"/>
      <c r="L105" s="38"/>
      <c r="M105" s="38"/>
      <c r="N105" s="30"/>
      <c r="O105" s="30"/>
      <c r="P105" s="30"/>
      <c r="Q105" s="30"/>
      <c r="R105" s="30"/>
      <c r="S105" s="30"/>
      <c r="T105" s="44">
        <f t="shared" si="7"/>
        <v>11</v>
      </c>
      <c r="U105" s="44"/>
    </row>
    <row r="106" spans="1:21" ht="14.25">
      <c r="A106" s="30"/>
      <c r="B106" s="44"/>
      <c r="C106" s="44"/>
      <c r="D106" s="49"/>
      <c r="E106" s="50"/>
      <c r="F106" s="202"/>
      <c r="G106" s="38" t="s">
        <v>103</v>
      </c>
      <c r="H106" s="38"/>
      <c r="I106" s="30"/>
      <c r="J106" s="30"/>
      <c r="K106" s="30"/>
      <c r="L106" s="30"/>
      <c r="M106" s="30"/>
      <c r="N106" s="30"/>
      <c r="O106" s="30"/>
      <c r="P106" s="30"/>
      <c r="Q106" s="30"/>
      <c r="R106" s="30"/>
      <c r="S106" s="30"/>
      <c r="T106" s="44">
        <f t="shared" ref="T106:T110" si="13">T105+1</f>
        <v>12</v>
      </c>
      <c r="U106" s="44"/>
    </row>
    <row r="107" spans="1:21" ht="14.25">
      <c r="A107" s="30"/>
      <c r="B107" s="44"/>
      <c r="C107" s="44"/>
      <c r="D107" s="46"/>
      <c r="E107" s="47" t="s">
        <v>98</v>
      </c>
      <c r="F107" s="202" t="s">
        <v>102</v>
      </c>
      <c r="G107" s="30" t="s">
        <v>739</v>
      </c>
      <c r="H107" s="30"/>
      <c r="I107" s="30"/>
      <c r="J107" s="30"/>
      <c r="K107" s="30"/>
      <c r="L107" s="30"/>
      <c r="M107" s="30"/>
      <c r="N107" s="30"/>
      <c r="O107" s="30"/>
      <c r="P107" s="44"/>
      <c r="Q107" s="30"/>
      <c r="R107" s="30"/>
      <c r="S107" s="30"/>
      <c r="T107" s="44">
        <f t="shared" si="13"/>
        <v>13</v>
      </c>
      <c r="U107" s="44"/>
    </row>
    <row r="108" spans="1:21" ht="16.5">
      <c r="A108" s="30"/>
      <c r="B108" s="30"/>
      <c r="C108" s="30"/>
      <c r="D108" s="30"/>
      <c r="E108" s="47" t="s">
        <v>104</v>
      </c>
      <c r="F108" s="202" t="s">
        <v>102</v>
      </c>
      <c r="G108" s="30" t="s">
        <v>509</v>
      </c>
      <c r="H108" s="30"/>
      <c r="I108" s="30"/>
      <c r="J108" s="30"/>
      <c r="K108" s="30"/>
      <c r="L108" s="44"/>
      <c r="M108" s="30"/>
      <c r="N108" s="30"/>
      <c r="O108" s="30"/>
      <c r="P108" s="30"/>
      <c r="Q108" s="30"/>
      <c r="R108" s="30"/>
      <c r="S108" s="30"/>
      <c r="T108" s="44">
        <f t="shared" si="13"/>
        <v>14</v>
      </c>
      <c r="U108" s="44"/>
    </row>
    <row r="109" spans="1:21" ht="14.25">
      <c r="A109" s="30"/>
      <c r="B109" s="30"/>
      <c r="C109" s="30"/>
      <c r="D109" s="30"/>
      <c r="E109" s="47" t="s">
        <v>99</v>
      </c>
      <c r="F109" s="202" t="s">
        <v>102</v>
      </c>
      <c r="G109" s="51" t="s">
        <v>740</v>
      </c>
      <c r="H109" s="51"/>
      <c r="I109" s="51"/>
      <c r="J109" s="30"/>
      <c r="K109" s="30"/>
      <c r="L109" s="30"/>
      <c r="M109" s="30"/>
      <c r="N109" s="30"/>
      <c r="O109" s="30"/>
      <c r="P109" s="30"/>
      <c r="Q109" s="30"/>
      <c r="R109" s="30"/>
      <c r="S109" s="30"/>
      <c r="T109" s="44">
        <f t="shared" si="13"/>
        <v>15</v>
      </c>
      <c r="U109" s="44"/>
    </row>
    <row r="110" spans="1:21" ht="16.5">
      <c r="A110" s="30"/>
      <c r="B110" s="30"/>
      <c r="C110" s="30"/>
      <c r="D110" s="30"/>
      <c r="E110" s="47" t="s">
        <v>105</v>
      </c>
      <c r="F110" s="202" t="s">
        <v>102</v>
      </c>
      <c r="G110" s="30" t="s">
        <v>106</v>
      </c>
      <c r="H110" s="30"/>
      <c r="I110" s="30"/>
      <c r="J110" s="30"/>
      <c r="K110" s="30"/>
      <c r="L110" s="44"/>
      <c r="M110" s="30"/>
      <c r="N110" s="30"/>
      <c r="O110" s="30"/>
      <c r="P110" s="30"/>
      <c r="Q110" s="30"/>
      <c r="R110" s="30"/>
      <c r="S110" s="30"/>
      <c r="T110" s="44">
        <f t="shared" si="13"/>
        <v>16</v>
      </c>
      <c r="U110" s="44"/>
    </row>
    <row r="111" spans="1:21" ht="14.25">
      <c r="A111" s="30"/>
      <c r="B111" s="44"/>
      <c r="C111" s="44"/>
      <c r="D111" s="46"/>
      <c r="E111" s="47" t="s">
        <v>84</v>
      </c>
      <c r="F111" s="202" t="s">
        <v>102</v>
      </c>
      <c r="G111" s="30" t="s">
        <v>510</v>
      </c>
      <c r="H111" s="30"/>
      <c r="I111" s="30"/>
      <c r="J111" s="30"/>
      <c r="K111" s="30"/>
      <c r="L111" s="30"/>
      <c r="M111" s="30"/>
      <c r="N111" s="30"/>
      <c r="O111" s="30"/>
      <c r="P111" s="30"/>
      <c r="Q111" s="30"/>
      <c r="R111" s="30"/>
      <c r="S111" s="30"/>
      <c r="T111" s="44">
        <f t="shared" ref="T111" si="14">T110+1</f>
        <v>17</v>
      </c>
      <c r="U111" s="44"/>
    </row>
    <row r="112" spans="1:21" ht="14.25">
      <c r="A112" s="30"/>
      <c r="B112" s="44"/>
      <c r="C112" s="44"/>
      <c r="D112" s="46"/>
      <c r="E112" s="47" t="s">
        <v>107</v>
      </c>
      <c r="F112" s="202" t="s">
        <v>102</v>
      </c>
      <c r="G112" s="30" t="s">
        <v>108</v>
      </c>
      <c r="H112" s="30"/>
      <c r="I112" s="30"/>
      <c r="J112" s="30"/>
      <c r="K112" s="30"/>
      <c r="L112" s="30"/>
      <c r="M112" s="30"/>
      <c r="N112" s="30"/>
      <c r="O112" s="30"/>
      <c r="P112" s="30"/>
      <c r="Q112" s="30"/>
      <c r="R112" s="30"/>
      <c r="S112" s="30"/>
      <c r="T112" s="44">
        <f t="shared" ref="T112" si="15">T111+1</f>
        <v>18</v>
      </c>
      <c r="U112" s="44"/>
    </row>
    <row r="113" spans="1:21" ht="14.25">
      <c r="A113" s="30"/>
      <c r="B113" s="44"/>
      <c r="C113" s="44"/>
      <c r="D113" s="46"/>
      <c r="E113" s="47" t="s">
        <v>77</v>
      </c>
      <c r="F113" s="202" t="s">
        <v>102</v>
      </c>
      <c r="G113" s="30" t="s">
        <v>109</v>
      </c>
      <c r="H113" s="30"/>
      <c r="I113" s="30"/>
      <c r="J113" s="30"/>
      <c r="K113" s="30"/>
      <c r="L113" s="30"/>
      <c r="M113" s="30"/>
      <c r="N113" s="30"/>
      <c r="O113" s="30"/>
      <c r="P113" s="30"/>
      <c r="Q113" s="30"/>
      <c r="R113" s="30"/>
      <c r="S113" s="30"/>
      <c r="T113" s="44">
        <f t="shared" ref="T113:T118" si="16">T112+1</f>
        <v>19</v>
      </c>
      <c r="U113" s="44"/>
    </row>
    <row r="114" spans="1:21" ht="14.25">
      <c r="A114" s="30"/>
      <c r="B114" s="357"/>
      <c r="C114" s="357"/>
      <c r="D114" s="357"/>
      <c r="E114" s="357"/>
      <c r="F114" s="357"/>
      <c r="G114" s="362"/>
      <c r="H114" s="288"/>
      <c r="I114" s="432"/>
      <c r="J114" s="432"/>
      <c r="K114" s="432"/>
      <c r="L114" s="432"/>
      <c r="M114" s="432"/>
      <c r="N114" s="432"/>
      <c r="O114" s="432"/>
      <c r="P114" s="288"/>
      <c r="Q114" s="289"/>
      <c r="R114" s="30"/>
      <c r="S114" s="30"/>
      <c r="T114" s="44">
        <f t="shared" si="16"/>
        <v>20</v>
      </c>
      <c r="U114" s="44"/>
    </row>
    <row r="115" spans="1:21" ht="14.25">
      <c r="A115" s="30"/>
      <c r="B115" s="357"/>
      <c r="C115" s="357"/>
      <c r="D115" s="357"/>
      <c r="E115" s="357"/>
      <c r="F115" s="357"/>
      <c r="G115" s="362"/>
      <c r="H115" s="288"/>
      <c r="I115" s="432"/>
      <c r="J115" s="432"/>
      <c r="K115" s="432"/>
      <c r="L115" s="432"/>
      <c r="M115" s="432"/>
      <c r="N115" s="432"/>
      <c r="O115" s="432"/>
      <c r="P115" s="288"/>
      <c r="Q115" s="289"/>
      <c r="R115" s="30"/>
      <c r="S115" s="30"/>
      <c r="T115" s="44">
        <f t="shared" si="16"/>
        <v>21</v>
      </c>
      <c r="U115" s="44"/>
    </row>
    <row r="116" spans="1:21" ht="14.25">
      <c r="A116" s="30"/>
      <c r="B116" s="44"/>
      <c r="C116" s="44" t="s">
        <v>100</v>
      </c>
      <c r="D116" s="46"/>
      <c r="E116" s="47" t="s">
        <v>448</v>
      </c>
      <c r="F116" s="285" t="s">
        <v>102</v>
      </c>
      <c r="G116" s="30" t="s">
        <v>451</v>
      </c>
      <c r="H116" s="30"/>
      <c r="I116" s="30"/>
      <c r="J116" s="30"/>
      <c r="K116" s="30"/>
      <c r="L116" s="30"/>
      <c r="M116" s="30"/>
      <c r="N116" s="30"/>
      <c r="O116" s="30"/>
      <c r="P116" s="30"/>
      <c r="Q116" s="30"/>
      <c r="R116" s="30"/>
      <c r="S116" s="30"/>
      <c r="T116" s="44">
        <f t="shared" si="16"/>
        <v>22</v>
      </c>
      <c r="U116" s="44"/>
    </row>
    <row r="117" spans="1:21" ht="14.25" customHeight="1">
      <c r="A117" s="30"/>
      <c r="B117" s="44"/>
      <c r="C117" s="44"/>
      <c r="D117" s="46"/>
      <c r="E117" s="47" t="s">
        <v>449</v>
      </c>
      <c r="F117" s="285" t="s">
        <v>102</v>
      </c>
      <c r="G117" s="30" t="s">
        <v>452</v>
      </c>
      <c r="H117" s="30"/>
      <c r="I117" s="30"/>
      <c r="J117" s="30"/>
      <c r="K117" s="555">
        <f>AS59</f>
        <v>15</v>
      </c>
      <c r="L117" s="555"/>
      <c r="M117" s="30" t="s">
        <v>198</v>
      </c>
      <c r="N117" s="30"/>
      <c r="O117" s="91" t="s">
        <v>91</v>
      </c>
      <c r="P117" s="30"/>
      <c r="Q117" s="30"/>
      <c r="R117" s="120"/>
      <c r="S117" s="30"/>
      <c r="T117" s="44">
        <f t="shared" si="16"/>
        <v>23</v>
      </c>
      <c r="U117" s="44"/>
    </row>
    <row r="118" spans="1:21" ht="14.25">
      <c r="A118" s="30"/>
      <c r="B118" s="44"/>
      <c r="C118" s="44"/>
      <c r="D118" s="46"/>
      <c r="E118" s="47"/>
      <c r="F118" s="202"/>
      <c r="G118" s="30"/>
      <c r="H118" s="30"/>
      <c r="I118" s="30"/>
      <c r="J118" s="30"/>
      <c r="K118" s="30"/>
      <c r="L118" s="30"/>
      <c r="M118" s="30"/>
      <c r="N118" s="30"/>
      <c r="O118" s="30"/>
      <c r="P118" s="30"/>
      <c r="Q118" s="30"/>
      <c r="R118" s="30"/>
      <c r="S118" s="30"/>
      <c r="T118" s="44">
        <f t="shared" si="16"/>
        <v>24</v>
      </c>
      <c r="U118" s="44"/>
    </row>
    <row r="119" spans="1:21" ht="14.25">
      <c r="A119" s="134" t="s">
        <v>390</v>
      </c>
      <c r="B119" s="30"/>
      <c r="C119" s="30"/>
      <c r="D119" s="30"/>
      <c r="E119" s="30"/>
      <c r="F119" s="30"/>
      <c r="G119" s="30"/>
      <c r="H119" s="30"/>
      <c r="I119" s="30"/>
      <c r="J119" s="30"/>
      <c r="K119" s="30"/>
      <c r="L119" s="30"/>
      <c r="M119" s="30"/>
      <c r="N119" s="30"/>
      <c r="O119" s="30"/>
      <c r="P119" s="30"/>
      <c r="Q119" s="30"/>
      <c r="R119" s="30"/>
      <c r="S119" s="30"/>
      <c r="T119" s="44">
        <f t="shared" ref="T119" si="17">T118+1</f>
        <v>25</v>
      </c>
      <c r="U119" s="44"/>
    </row>
    <row r="120" spans="1:21" ht="14.25">
      <c r="A120" s="30"/>
      <c r="B120" s="30"/>
      <c r="C120" s="50" t="s">
        <v>110</v>
      </c>
      <c r="D120" s="52"/>
      <c r="E120" s="30"/>
      <c r="F120" s="30"/>
      <c r="G120" s="30"/>
      <c r="H120" s="30"/>
      <c r="I120" s="30"/>
      <c r="J120" s="30"/>
      <c r="K120" s="30"/>
      <c r="L120" s="30"/>
      <c r="M120" s="30"/>
      <c r="N120" s="30"/>
      <c r="O120" s="30"/>
      <c r="P120" s="30"/>
      <c r="Q120" s="30"/>
      <c r="R120" s="30"/>
      <c r="S120" s="30"/>
      <c r="T120" s="44">
        <f t="shared" ref="T120" si="18">T119+1</f>
        <v>26</v>
      </c>
      <c r="U120" s="44"/>
    </row>
    <row r="121" spans="1:21" ht="14.25">
      <c r="A121" s="30"/>
      <c r="B121" s="36"/>
      <c r="C121" s="549" t="s">
        <v>111</v>
      </c>
      <c r="D121" s="550"/>
      <c r="E121" s="550"/>
      <c r="F121" s="550"/>
      <c r="G121" s="550"/>
      <c r="H121" s="549" t="s">
        <v>112</v>
      </c>
      <c r="I121" s="549"/>
      <c r="J121" s="549"/>
      <c r="K121" s="550" t="s">
        <v>113</v>
      </c>
      <c r="L121" s="550"/>
      <c r="M121" s="550"/>
      <c r="N121" s="426" t="s">
        <v>27</v>
      </c>
      <c r="O121" s="426"/>
      <c r="P121" s="426"/>
      <c r="Q121" s="426"/>
      <c r="R121" s="426"/>
      <c r="S121" s="38"/>
      <c r="T121" s="44">
        <f t="shared" ref="T121" si="19">T120+1</f>
        <v>27</v>
      </c>
      <c r="U121" s="44"/>
    </row>
    <row r="122" spans="1:21" ht="14.25">
      <c r="A122" s="30"/>
      <c r="B122" s="36"/>
      <c r="C122" s="488">
        <f t="shared" ref="C122:C127" si="20">D9</f>
        <v>0</v>
      </c>
      <c r="D122" s="488"/>
      <c r="E122" s="488"/>
      <c r="F122" s="489">
        <f t="shared" ref="F122:F127" si="21">G9/10000</f>
        <v>0</v>
      </c>
      <c r="G122" s="489"/>
      <c r="H122" s="490" t="str">
        <f t="shared" ref="H122:H127" si="22">J9</f>
        <v/>
      </c>
      <c r="I122" s="491"/>
      <c r="J122" s="492"/>
      <c r="K122" s="554">
        <f t="shared" ref="K122:K127" si="23">IF(L9="",0,L9/10000)</f>
        <v>0</v>
      </c>
      <c r="L122" s="554"/>
      <c r="M122" s="554"/>
      <c r="N122" s="547">
        <f t="shared" ref="N122:N127" si="24">N9</f>
        <v>0</v>
      </c>
      <c r="O122" s="547"/>
      <c r="P122" s="547"/>
      <c r="Q122" s="547"/>
      <c r="R122" s="547"/>
      <c r="S122" s="61"/>
      <c r="T122" s="44">
        <f t="shared" ref="T122" si="25">T121+1</f>
        <v>28</v>
      </c>
      <c r="U122" s="44"/>
    </row>
    <row r="123" spans="1:21" ht="14.25">
      <c r="A123" s="30"/>
      <c r="B123" s="36"/>
      <c r="C123" s="538">
        <f t="shared" si="20"/>
        <v>0</v>
      </c>
      <c r="D123" s="538"/>
      <c r="E123" s="538"/>
      <c r="F123" s="539">
        <f t="shared" si="21"/>
        <v>0</v>
      </c>
      <c r="G123" s="539"/>
      <c r="H123" s="540" t="str">
        <f t="shared" si="22"/>
        <v/>
      </c>
      <c r="I123" s="469"/>
      <c r="J123" s="541"/>
      <c r="K123" s="553">
        <f t="shared" si="23"/>
        <v>0</v>
      </c>
      <c r="L123" s="553"/>
      <c r="M123" s="553"/>
      <c r="N123" s="543">
        <f t="shared" si="24"/>
        <v>0</v>
      </c>
      <c r="O123" s="543"/>
      <c r="P123" s="543"/>
      <c r="Q123" s="543"/>
      <c r="R123" s="543"/>
      <c r="S123" s="61"/>
      <c r="T123" s="44">
        <f t="shared" ref="T123" si="26">T122+1</f>
        <v>29</v>
      </c>
      <c r="U123" s="44"/>
    </row>
    <row r="124" spans="1:21" ht="14.25">
      <c r="A124" s="30"/>
      <c r="B124" s="36"/>
      <c r="C124" s="538">
        <f t="shared" si="20"/>
        <v>0</v>
      </c>
      <c r="D124" s="538"/>
      <c r="E124" s="538"/>
      <c r="F124" s="539">
        <f t="shared" si="21"/>
        <v>0</v>
      </c>
      <c r="G124" s="539"/>
      <c r="H124" s="540" t="str">
        <f t="shared" si="22"/>
        <v/>
      </c>
      <c r="I124" s="469"/>
      <c r="J124" s="541"/>
      <c r="K124" s="553">
        <f t="shared" si="23"/>
        <v>0</v>
      </c>
      <c r="L124" s="553"/>
      <c r="M124" s="553"/>
      <c r="N124" s="543">
        <f t="shared" si="24"/>
        <v>0</v>
      </c>
      <c r="O124" s="543"/>
      <c r="P124" s="543"/>
      <c r="Q124" s="543"/>
      <c r="R124" s="543"/>
      <c r="S124" s="61"/>
      <c r="T124" s="44">
        <f t="shared" ref="T124" si="27">T123+1</f>
        <v>30</v>
      </c>
      <c r="U124" s="44"/>
    </row>
    <row r="125" spans="1:21" ht="14.25">
      <c r="A125" s="30"/>
      <c r="B125" s="36"/>
      <c r="C125" s="538">
        <f t="shared" si="20"/>
        <v>0</v>
      </c>
      <c r="D125" s="538"/>
      <c r="E125" s="538"/>
      <c r="F125" s="539">
        <f t="shared" si="21"/>
        <v>0</v>
      </c>
      <c r="G125" s="539"/>
      <c r="H125" s="540" t="str">
        <f t="shared" si="22"/>
        <v/>
      </c>
      <c r="I125" s="469"/>
      <c r="J125" s="541"/>
      <c r="K125" s="553">
        <f t="shared" si="23"/>
        <v>0</v>
      </c>
      <c r="L125" s="553"/>
      <c r="M125" s="553"/>
      <c r="N125" s="543">
        <f t="shared" si="24"/>
        <v>0</v>
      </c>
      <c r="O125" s="543"/>
      <c r="P125" s="543"/>
      <c r="Q125" s="543"/>
      <c r="R125" s="543"/>
      <c r="S125" s="61"/>
      <c r="T125" s="44">
        <f t="shared" ref="T125" si="28">T124+1</f>
        <v>31</v>
      </c>
      <c r="U125" s="44"/>
    </row>
    <row r="126" spans="1:21" ht="14.25">
      <c r="A126" s="30"/>
      <c r="B126" s="36"/>
      <c r="C126" s="538">
        <f t="shared" si="20"/>
        <v>0</v>
      </c>
      <c r="D126" s="538"/>
      <c r="E126" s="538"/>
      <c r="F126" s="539">
        <f t="shared" si="21"/>
        <v>0</v>
      </c>
      <c r="G126" s="539"/>
      <c r="H126" s="540" t="str">
        <f t="shared" si="22"/>
        <v/>
      </c>
      <c r="I126" s="469"/>
      <c r="J126" s="541"/>
      <c r="K126" s="553">
        <f t="shared" si="23"/>
        <v>0</v>
      </c>
      <c r="L126" s="553"/>
      <c r="M126" s="553"/>
      <c r="N126" s="543">
        <f t="shared" si="24"/>
        <v>0</v>
      </c>
      <c r="O126" s="543"/>
      <c r="P126" s="543"/>
      <c r="Q126" s="543"/>
      <c r="R126" s="543"/>
      <c r="S126" s="61"/>
      <c r="T126" s="44">
        <f t="shared" ref="T126" si="29">T125+1</f>
        <v>32</v>
      </c>
      <c r="U126" s="44"/>
    </row>
    <row r="127" spans="1:21" ht="14.25">
      <c r="A127" s="30"/>
      <c r="B127" s="36"/>
      <c r="C127" s="538">
        <f t="shared" si="20"/>
        <v>0</v>
      </c>
      <c r="D127" s="538"/>
      <c r="E127" s="538"/>
      <c r="F127" s="539">
        <f t="shared" si="21"/>
        <v>0</v>
      </c>
      <c r="G127" s="539"/>
      <c r="H127" s="540" t="str">
        <f t="shared" si="22"/>
        <v/>
      </c>
      <c r="I127" s="469"/>
      <c r="J127" s="541"/>
      <c r="K127" s="553">
        <f t="shared" si="23"/>
        <v>0</v>
      </c>
      <c r="L127" s="553"/>
      <c r="M127" s="553"/>
      <c r="N127" s="543">
        <f t="shared" si="24"/>
        <v>0</v>
      </c>
      <c r="O127" s="543"/>
      <c r="P127" s="543"/>
      <c r="Q127" s="543"/>
      <c r="R127" s="543"/>
      <c r="S127" s="61"/>
      <c r="T127" s="44">
        <f t="shared" ref="T127:T128" si="30">T126+1</f>
        <v>33</v>
      </c>
      <c r="U127" s="44"/>
    </row>
    <row r="128" spans="1:21" ht="14.25">
      <c r="A128" s="30"/>
      <c r="B128" s="30"/>
      <c r="C128" s="494" t="s">
        <v>30</v>
      </c>
      <c r="D128" s="495"/>
      <c r="E128" s="496"/>
      <c r="F128" s="544">
        <f>SUM(F122:F127)</f>
        <v>0</v>
      </c>
      <c r="G128" s="544"/>
      <c r="H128" s="53"/>
      <c r="I128" s="495"/>
      <c r="J128" s="496"/>
      <c r="K128" s="552">
        <f>SUM(K122:K127)</f>
        <v>0</v>
      </c>
      <c r="L128" s="552"/>
      <c r="M128" s="552"/>
      <c r="N128" s="546"/>
      <c r="O128" s="546"/>
      <c r="P128" s="546"/>
      <c r="Q128" s="546"/>
      <c r="R128" s="546"/>
      <c r="S128" s="38"/>
      <c r="T128" s="44">
        <f t="shared" si="30"/>
        <v>34</v>
      </c>
      <c r="U128" s="44"/>
    </row>
    <row r="129" spans="1:21" ht="14.25">
      <c r="A129" s="30"/>
      <c r="B129" s="31" t="s">
        <v>114</v>
      </c>
      <c r="C129" s="44"/>
      <c r="D129" s="30"/>
      <c r="E129" s="30"/>
      <c r="F129" s="202"/>
      <c r="G129" s="202"/>
      <c r="H129" s="202"/>
      <c r="I129" s="57"/>
      <c r="J129" s="57"/>
      <c r="K129" s="58"/>
      <c r="L129" s="202"/>
      <c r="M129" s="202"/>
      <c r="N129" s="59"/>
      <c r="O129" s="59"/>
      <c r="P129" s="59"/>
      <c r="Q129" s="62"/>
      <c r="R129" s="38"/>
      <c r="S129" s="38"/>
      <c r="T129" s="44">
        <f t="shared" ref="T129" si="31">T128+1</f>
        <v>35</v>
      </c>
      <c r="U129" s="44"/>
    </row>
    <row r="130" spans="1:21" ht="14.25">
      <c r="A130" s="30"/>
      <c r="B130" s="30"/>
      <c r="C130" s="30"/>
      <c r="D130" s="30" t="s">
        <v>115</v>
      </c>
      <c r="E130" s="548">
        <f>$L$15/10000</f>
        <v>0</v>
      </c>
      <c r="F130" s="548"/>
      <c r="G130" s="31" t="s">
        <v>116</v>
      </c>
      <c r="H130" s="449">
        <f>$G$15/10000</f>
        <v>0</v>
      </c>
      <c r="I130" s="449"/>
      <c r="J130" s="31" t="s">
        <v>75</v>
      </c>
      <c r="K130" s="487" t="e">
        <f>E130/H130</f>
        <v>#DIV/0!</v>
      </c>
      <c r="L130" s="487"/>
      <c r="M130" s="31" t="s">
        <v>94</v>
      </c>
      <c r="N130" s="537">
        <f>$M$7</f>
        <v>0</v>
      </c>
      <c r="O130" s="537"/>
      <c r="P130" s="43" t="s">
        <v>22</v>
      </c>
      <c r="Q130" s="117"/>
      <c r="R130" s="118"/>
      <c r="S130" s="38"/>
      <c r="T130" s="44">
        <f t="shared" ref="T130" si="32">T129+1</f>
        <v>36</v>
      </c>
      <c r="U130" s="44"/>
    </row>
    <row r="131" spans="1:21" ht="14.25">
      <c r="A131" s="30"/>
      <c r="B131" s="30"/>
      <c r="C131" s="50" t="s">
        <v>117</v>
      </c>
      <c r="D131" s="52"/>
      <c r="E131" s="30"/>
      <c r="F131" s="30"/>
      <c r="G131" s="30"/>
      <c r="H131" s="30"/>
      <c r="I131" s="30"/>
      <c r="J131" s="30"/>
      <c r="K131" s="30"/>
      <c r="L131" s="30"/>
      <c r="M131" s="30"/>
      <c r="N131" s="30"/>
      <c r="O131" s="30"/>
      <c r="P131" s="30"/>
      <c r="Q131" s="30"/>
      <c r="R131" s="30"/>
      <c r="S131" s="30"/>
      <c r="T131" s="44">
        <f t="shared" ref="T131" si="33">T130+1</f>
        <v>37</v>
      </c>
      <c r="U131" s="44"/>
    </row>
    <row r="132" spans="1:21" ht="14.25">
      <c r="A132" s="30"/>
      <c r="B132" s="36"/>
      <c r="C132" s="549" t="s">
        <v>118</v>
      </c>
      <c r="D132" s="550"/>
      <c r="E132" s="550"/>
      <c r="F132" s="550"/>
      <c r="G132" s="550"/>
      <c r="H132" s="551" t="s">
        <v>119</v>
      </c>
      <c r="I132" s="551"/>
      <c r="J132" s="551"/>
      <c r="K132" s="550" t="s">
        <v>113</v>
      </c>
      <c r="L132" s="550"/>
      <c r="M132" s="550"/>
      <c r="N132" s="426" t="s">
        <v>27</v>
      </c>
      <c r="O132" s="426"/>
      <c r="P132" s="426"/>
      <c r="Q132" s="426"/>
      <c r="R132" s="426"/>
      <c r="S132" s="38"/>
      <c r="T132" s="44">
        <f t="shared" ref="T132" si="34">T131+1</f>
        <v>38</v>
      </c>
      <c r="U132" s="44"/>
    </row>
    <row r="133" spans="1:21" ht="14.25">
      <c r="A133" s="30"/>
      <c r="B133" s="36"/>
      <c r="C133" s="488">
        <f>D18</f>
        <v>0</v>
      </c>
      <c r="D133" s="488"/>
      <c r="E133" s="488"/>
      <c r="F133" s="489">
        <f>G18/10000</f>
        <v>0</v>
      </c>
      <c r="G133" s="489"/>
      <c r="H133" s="490" t="str">
        <f>J18</f>
        <v/>
      </c>
      <c r="I133" s="491"/>
      <c r="J133" s="492"/>
      <c r="K133" s="493">
        <f>IF(L18="",0,L18/10000)</f>
        <v>0</v>
      </c>
      <c r="L133" s="493"/>
      <c r="M133" s="493"/>
      <c r="N133" s="547">
        <f>N18</f>
        <v>0</v>
      </c>
      <c r="O133" s="547"/>
      <c r="P133" s="547"/>
      <c r="Q133" s="547"/>
      <c r="R133" s="547"/>
      <c r="S133" s="61"/>
      <c r="T133" s="44">
        <f t="shared" ref="T133" si="35">T132+1</f>
        <v>39</v>
      </c>
      <c r="U133" s="44"/>
    </row>
    <row r="134" spans="1:21" ht="14.25">
      <c r="A134" s="30"/>
      <c r="B134" s="36"/>
      <c r="C134" s="538">
        <f>D19</f>
        <v>0</v>
      </c>
      <c r="D134" s="538"/>
      <c r="E134" s="538"/>
      <c r="F134" s="539">
        <f>G19/10000</f>
        <v>0</v>
      </c>
      <c r="G134" s="539"/>
      <c r="H134" s="540" t="str">
        <f>J19</f>
        <v/>
      </c>
      <c r="I134" s="469"/>
      <c r="J134" s="541"/>
      <c r="K134" s="542">
        <f>IF(L19="",0,L19/10000)</f>
        <v>0</v>
      </c>
      <c r="L134" s="542"/>
      <c r="M134" s="542"/>
      <c r="N134" s="543">
        <f>N19</f>
        <v>0</v>
      </c>
      <c r="O134" s="543"/>
      <c r="P134" s="543"/>
      <c r="Q134" s="543"/>
      <c r="R134" s="543"/>
      <c r="S134" s="61"/>
      <c r="T134" s="44">
        <f t="shared" ref="T134" si="36">T133+1</f>
        <v>40</v>
      </c>
      <c r="U134" s="44"/>
    </row>
    <row r="135" spans="1:21" ht="14.25">
      <c r="A135" s="30"/>
      <c r="B135" s="36"/>
      <c r="C135" s="538">
        <f>D20</f>
        <v>0</v>
      </c>
      <c r="D135" s="538"/>
      <c r="E135" s="538"/>
      <c r="F135" s="539">
        <f>G20/10000</f>
        <v>0</v>
      </c>
      <c r="G135" s="539"/>
      <c r="H135" s="540" t="str">
        <f>J20</f>
        <v/>
      </c>
      <c r="I135" s="469"/>
      <c r="J135" s="541"/>
      <c r="K135" s="542">
        <f>IF(L20="",0,L20/10000)</f>
        <v>0</v>
      </c>
      <c r="L135" s="542"/>
      <c r="M135" s="542"/>
      <c r="N135" s="543">
        <f>N20</f>
        <v>0</v>
      </c>
      <c r="O135" s="543"/>
      <c r="P135" s="543"/>
      <c r="Q135" s="543"/>
      <c r="R135" s="543"/>
      <c r="S135" s="61"/>
      <c r="T135" s="44">
        <f t="shared" ref="T135" si="37">T134+1</f>
        <v>41</v>
      </c>
      <c r="U135" s="44"/>
    </row>
    <row r="136" spans="1:21" ht="14.25">
      <c r="A136" s="30"/>
      <c r="B136" s="30"/>
      <c r="C136" s="494" t="s">
        <v>30</v>
      </c>
      <c r="D136" s="495"/>
      <c r="E136" s="496"/>
      <c r="F136" s="544">
        <f>SUM(F133:F135)</f>
        <v>0</v>
      </c>
      <c r="G136" s="544"/>
      <c r="H136" s="53"/>
      <c r="I136" s="495"/>
      <c r="J136" s="496"/>
      <c r="K136" s="545">
        <f>SUM(K133:K135)</f>
        <v>0</v>
      </c>
      <c r="L136" s="545"/>
      <c r="M136" s="545"/>
      <c r="N136" s="546"/>
      <c r="O136" s="546"/>
      <c r="P136" s="546"/>
      <c r="Q136" s="546"/>
      <c r="R136" s="546"/>
      <c r="S136" s="38"/>
      <c r="T136" s="44">
        <f t="shared" ref="T136" si="38">T135+1</f>
        <v>42</v>
      </c>
      <c r="U136" s="44"/>
    </row>
    <row r="137" spans="1:21" ht="14.25">
      <c r="A137" s="30"/>
      <c r="B137" s="31"/>
      <c r="C137" s="44"/>
      <c r="D137" s="30"/>
      <c r="E137" s="30"/>
      <c r="F137" s="202"/>
      <c r="G137" s="202"/>
      <c r="H137" s="47" t="s">
        <v>120</v>
      </c>
      <c r="I137" s="57"/>
      <c r="J137" s="57"/>
      <c r="K137" s="58"/>
      <c r="L137" s="202"/>
      <c r="M137" s="202"/>
      <c r="N137" s="59"/>
      <c r="O137" s="59"/>
      <c r="P137" s="59"/>
      <c r="Q137" s="62"/>
      <c r="R137" s="38"/>
      <c r="S137" s="38"/>
      <c r="T137" s="44">
        <f t="shared" ref="T137" si="39">T136+1</f>
        <v>43</v>
      </c>
      <c r="U137" s="44"/>
    </row>
    <row r="138" spans="1:21" ht="14.25">
      <c r="A138" s="30"/>
      <c r="B138" s="31" t="s">
        <v>114</v>
      </c>
      <c r="C138" s="44"/>
      <c r="D138" s="30"/>
      <c r="E138" s="30"/>
      <c r="F138" s="202"/>
      <c r="G138" s="202"/>
      <c r="H138" s="202"/>
      <c r="I138" s="57"/>
      <c r="J138" s="57"/>
      <c r="K138" s="58"/>
      <c r="L138" s="202"/>
      <c r="M138" s="202"/>
      <c r="N138" s="59"/>
      <c r="O138" s="59"/>
      <c r="P138" s="59"/>
      <c r="Q138" s="62"/>
      <c r="R138" s="38"/>
      <c r="S138" s="38"/>
      <c r="T138" s="44">
        <f t="shared" ref="T138" si="40">T137+1</f>
        <v>44</v>
      </c>
      <c r="U138" s="44"/>
    </row>
    <row r="139" spans="1:21" ht="14.25">
      <c r="A139" s="30"/>
      <c r="B139" s="30"/>
      <c r="C139" s="30"/>
      <c r="D139" s="30" t="s">
        <v>115</v>
      </c>
      <c r="E139" s="486">
        <f>K136</f>
        <v>0</v>
      </c>
      <c r="F139" s="486"/>
      <c r="G139" s="31" t="s">
        <v>116</v>
      </c>
      <c r="H139" s="449">
        <f>F136</f>
        <v>0</v>
      </c>
      <c r="I139" s="449"/>
      <c r="J139" s="31" t="s">
        <v>75</v>
      </c>
      <c r="K139" s="487">
        <f>IF(E139&gt;0,E139/H139,0)</f>
        <v>0</v>
      </c>
      <c r="L139" s="487"/>
      <c r="M139" s="31" t="s">
        <v>94</v>
      </c>
      <c r="N139" s="537">
        <f>ROUNDUP(K139,2)</f>
        <v>0</v>
      </c>
      <c r="O139" s="537"/>
      <c r="P139" s="43" t="s">
        <v>22</v>
      </c>
      <c r="Q139" s="62"/>
      <c r="R139" s="38"/>
      <c r="S139" s="38"/>
      <c r="T139" s="44">
        <f t="shared" ref="T139" si="41">T138+1</f>
        <v>45</v>
      </c>
      <c r="U139" s="44"/>
    </row>
    <row r="140" spans="1:21" ht="14.25">
      <c r="A140" s="30"/>
      <c r="B140" s="30"/>
      <c r="C140" s="30"/>
      <c r="D140" s="30"/>
      <c r="E140" s="31"/>
      <c r="F140" s="31"/>
      <c r="G140" s="31"/>
      <c r="H140" s="31"/>
      <c r="I140" s="31"/>
      <c r="J140" s="31"/>
      <c r="K140" s="31"/>
      <c r="L140" s="44"/>
      <c r="M140" s="44"/>
      <c r="N140" s="44"/>
      <c r="O140" s="44"/>
      <c r="P140" s="32"/>
      <c r="Q140" s="44"/>
      <c r="R140" s="38"/>
      <c r="S140" s="38"/>
      <c r="T140" s="44">
        <f t="shared" ref="T140:T141" si="42">T139+1</f>
        <v>46</v>
      </c>
      <c r="U140" s="44"/>
    </row>
    <row r="141" spans="1:21" ht="14.25">
      <c r="A141" s="134" t="s">
        <v>411</v>
      </c>
      <c r="B141" s="30"/>
      <c r="C141" s="30"/>
      <c r="D141" s="30"/>
      <c r="E141" s="30"/>
      <c r="F141" s="30"/>
      <c r="G141" s="30"/>
      <c r="H141" s="30"/>
      <c r="I141" s="30"/>
      <c r="J141" s="30"/>
      <c r="K141" s="30"/>
      <c r="L141" s="30"/>
      <c r="M141" s="30"/>
      <c r="N141" s="30"/>
      <c r="O141" s="30"/>
      <c r="P141" s="30"/>
      <c r="Q141" s="30"/>
      <c r="R141" s="30"/>
      <c r="S141" s="30"/>
      <c r="T141" s="44">
        <f t="shared" si="42"/>
        <v>47</v>
      </c>
      <c r="U141" s="44"/>
    </row>
    <row r="142" spans="1:21" ht="14.25">
      <c r="A142" s="30"/>
      <c r="B142" s="30" t="s">
        <v>124</v>
      </c>
      <c r="C142" s="30"/>
      <c r="D142" s="203"/>
      <c r="E142" s="203"/>
      <c r="F142" s="203"/>
      <c r="G142" s="30"/>
      <c r="H142" s="38"/>
      <c r="I142" s="38"/>
      <c r="J142" s="38"/>
      <c r="K142" s="38"/>
      <c r="L142" s="38"/>
      <c r="M142" s="38"/>
      <c r="N142" s="38"/>
      <c r="O142" s="38"/>
      <c r="P142" s="38"/>
      <c r="Q142" s="38"/>
      <c r="R142" s="38"/>
      <c r="S142" s="38"/>
      <c r="T142" s="44">
        <f>T141+1</f>
        <v>48</v>
      </c>
      <c r="U142" s="44"/>
    </row>
    <row r="143" spans="1:21" ht="14.25">
      <c r="A143" s="115"/>
      <c r="B143" s="115"/>
      <c r="C143" s="115"/>
      <c r="D143" s="115"/>
      <c r="E143" s="115" t="s">
        <v>125</v>
      </c>
      <c r="F143" s="116"/>
      <c r="G143" s="116"/>
      <c r="H143" s="116" t="s">
        <v>126</v>
      </c>
      <c r="I143" s="116"/>
      <c r="J143" s="116"/>
      <c r="K143" s="116" t="s">
        <v>127</v>
      </c>
      <c r="L143" s="116"/>
      <c r="M143" s="116"/>
      <c r="N143" s="116"/>
      <c r="O143" s="116"/>
      <c r="P143" s="116"/>
      <c r="Q143" s="116"/>
      <c r="R143" s="116"/>
      <c r="S143" s="116"/>
      <c r="T143" s="44">
        <f t="shared" ref="T143:T151" si="43">T142+1</f>
        <v>49</v>
      </c>
      <c r="U143" s="44"/>
    </row>
    <row r="144" spans="1:21" ht="14.25">
      <c r="A144" s="30"/>
      <c r="B144" s="30"/>
      <c r="C144" s="30" t="s">
        <v>129</v>
      </c>
      <c r="D144" s="203" t="s">
        <v>75</v>
      </c>
      <c r="E144" s="534">
        <f>K38</f>
        <v>2.5000000000000001E-2</v>
      </c>
      <c r="F144" s="459"/>
      <c r="G144" s="202" t="s">
        <v>317</v>
      </c>
      <c r="H144" s="535">
        <f>$G$15/10000</f>
        <v>0</v>
      </c>
      <c r="I144" s="535"/>
      <c r="J144" s="124" t="s">
        <v>316</v>
      </c>
      <c r="K144" s="442">
        <f>F136</f>
        <v>0</v>
      </c>
      <c r="L144" s="442"/>
      <c r="M144" s="124" t="s">
        <v>352</v>
      </c>
      <c r="N144" s="536"/>
      <c r="O144" s="536"/>
      <c r="P144" s="124"/>
      <c r="Q144" s="536"/>
      <c r="R144" s="536"/>
      <c r="S144" s="202"/>
      <c r="T144" s="44">
        <f t="shared" si="43"/>
        <v>50</v>
      </c>
      <c r="U144" s="44"/>
    </row>
    <row r="145" spans="1:21" ht="14.25">
      <c r="A145" s="30"/>
      <c r="B145" s="30"/>
      <c r="C145" s="30"/>
      <c r="D145" s="203" t="s">
        <v>75</v>
      </c>
      <c r="E145" s="442">
        <f>AU50</f>
        <v>0</v>
      </c>
      <c r="F145" s="442"/>
      <c r="G145" s="30" t="s">
        <v>64</v>
      </c>
      <c r="H145" s="38"/>
      <c r="I145" s="38"/>
      <c r="J145" s="38"/>
      <c r="K145" s="38"/>
      <c r="L145" s="38"/>
      <c r="M145" s="38"/>
      <c r="N145" s="38"/>
      <c r="O145" s="38"/>
      <c r="P145" s="38"/>
      <c r="Q145" s="38"/>
      <c r="R145" s="38"/>
      <c r="S145" s="38"/>
      <c r="T145" s="44">
        <f t="shared" si="43"/>
        <v>51</v>
      </c>
      <c r="U145" s="44"/>
    </row>
    <row r="146" spans="1:21" ht="14.25">
      <c r="A146" s="30"/>
      <c r="B146" s="30"/>
      <c r="C146" s="30"/>
      <c r="D146" s="203"/>
      <c r="E146" s="203"/>
      <c r="F146" s="203"/>
      <c r="G146" s="30"/>
      <c r="H146" s="38"/>
      <c r="I146" s="38"/>
      <c r="J146" s="38"/>
      <c r="K146" s="38"/>
      <c r="L146" s="38"/>
      <c r="M146" s="38"/>
      <c r="N146" s="38"/>
      <c r="O146" s="38"/>
      <c r="P146" s="38"/>
      <c r="Q146" s="38"/>
      <c r="R146" s="38"/>
      <c r="S146" s="38"/>
      <c r="T146" s="44">
        <f t="shared" si="43"/>
        <v>52</v>
      </c>
      <c r="U146" s="44"/>
    </row>
    <row r="147" spans="1:21" ht="14.25">
      <c r="A147" s="30"/>
      <c r="B147" s="30" t="s">
        <v>371</v>
      </c>
      <c r="C147" s="30"/>
      <c r="D147" s="30"/>
      <c r="E147" s="30"/>
      <c r="F147" s="38"/>
      <c r="G147" s="38"/>
      <c r="H147" s="38"/>
      <c r="I147" s="38"/>
      <c r="J147" s="38"/>
      <c r="K147" s="38"/>
      <c r="L147" s="38"/>
      <c r="M147" s="38"/>
      <c r="N147" s="38"/>
      <c r="O147" s="38"/>
      <c r="P147" s="38"/>
      <c r="Q147" s="38"/>
      <c r="R147" s="38"/>
      <c r="S147" s="38"/>
      <c r="T147" s="44">
        <f t="shared" si="43"/>
        <v>53</v>
      </c>
      <c r="U147" s="44"/>
    </row>
    <row r="148" spans="1:21" ht="14.25">
      <c r="A148" s="30"/>
      <c r="B148" s="30"/>
      <c r="C148" s="429" t="s">
        <v>122</v>
      </c>
      <c r="D148" s="429" t="s">
        <v>75</v>
      </c>
      <c r="E148" s="198">
        <v>1</v>
      </c>
      <c r="F148" s="498" t="s">
        <v>123</v>
      </c>
      <c r="G148" s="498"/>
      <c r="H148" s="498"/>
      <c r="I148" s="429" t="s">
        <v>75</v>
      </c>
      <c r="J148" s="198">
        <v>1</v>
      </c>
      <c r="K148" s="501" t="str">
        <f>"×"&amp;N139&amp;"×"</f>
        <v>×0×</v>
      </c>
      <c r="L148" s="501"/>
      <c r="M148" s="513">
        <f>$AU$63</f>
        <v>1695</v>
      </c>
      <c r="N148" s="513"/>
      <c r="O148" s="513"/>
      <c r="P148" s="513"/>
      <c r="Q148" s="521" t="str">
        <f>"×"&amp;F136</f>
        <v>×0</v>
      </c>
      <c r="R148" s="521"/>
      <c r="S148" s="521"/>
      <c r="T148" s="44">
        <f t="shared" si="43"/>
        <v>54</v>
      </c>
      <c r="U148" s="44"/>
    </row>
    <row r="149" spans="1:21" ht="14.25" customHeight="1">
      <c r="A149" s="30"/>
      <c r="B149" s="30"/>
      <c r="C149" s="429"/>
      <c r="D149" s="429"/>
      <c r="E149" s="199">
        <v>360</v>
      </c>
      <c r="F149" s="498"/>
      <c r="G149" s="498"/>
      <c r="H149" s="498"/>
      <c r="I149" s="429"/>
      <c r="J149" s="199">
        <v>360</v>
      </c>
      <c r="K149" s="501"/>
      <c r="L149" s="501"/>
      <c r="M149" s="194">
        <v>5</v>
      </c>
      <c r="N149" s="254">
        <f>$AW$64</f>
        <v>0.75</v>
      </c>
      <c r="O149" s="536" t="str">
        <f>"＋"&amp;$AY$64</f>
        <v>＋10</v>
      </c>
      <c r="P149" s="536"/>
      <c r="Q149" s="521"/>
      <c r="R149" s="521"/>
      <c r="S149" s="521"/>
      <c r="T149" s="44">
        <f t="shared" si="43"/>
        <v>55</v>
      </c>
      <c r="U149" s="44"/>
    </row>
    <row r="150" spans="1:21" ht="14.25" customHeight="1">
      <c r="A150" s="30"/>
      <c r="B150" s="30"/>
      <c r="C150" s="30"/>
      <c r="D150" s="203" t="s">
        <v>75</v>
      </c>
      <c r="E150" s="533">
        <f>IF(G21&gt;0,ROUNDUP(1/360*$M$16*AU63/(5^AW64+AY64)*G21/10000,5),0)</f>
        <v>0</v>
      </c>
      <c r="F150" s="425"/>
      <c r="G150" s="30" t="s">
        <v>64</v>
      </c>
      <c r="H150" s="38"/>
      <c r="I150" s="365" t="str">
        <f>IF(OR(E150=0,E145&gt;=E150),"ＯＫ","ＮＧ")</f>
        <v>ＯＫ</v>
      </c>
      <c r="J150" s="38"/>
      <c r="K150" s="38"/>
      <c r="L150" s="38"/>
      <c r="M150" s="38"/>
      <c r="N150" s="38"/>
      <c r="O150" s="38"/>
      <c r="P150" s="38"/>
      <c r="Q150" s="38"/>
      <c r="R150" s="38"/>
      <c r="S150" s="38"/>
      <c r="T150" s="44">
        <f t="shared" si="43"/>
        <v>56</v>
      </c>
      <c r="U150" s="44"/>
    </row>
    <row r="151" spans="1:21" ht="14.25">
      <c r="A151" s="30"/>
      <c r="B151" s="30"/>
      <c r="C151" s="30"/>
      <c r="D151" s="30"/>
      <c r="E151" s="30"/>
      <c r="F151" s="38"/>
      <c r="G151" s="38"/>
      <c r="H151" s="38"/>
      <c r="I151" s="38"/>
      <c r="J151" s="38"/>
      <c r="K151" s="38"/>
      <c r="L151" s="38"/>
      <c r="M151" s="38"/>
      <c r="N151" s="38"/>
      <c r="O151" s="38"/>
      <c r="P151" s="38"/>
      <c r="Q151" s="38"/>
      <c r="R151" s="38"/>
      <c r="S151" s="38"/>
      <c r="T151" s="44">
        <f t="shared" si="43"/>
        <v>57</v>
      </c>
      <c r="U151" s="44"/>
    </row>
    <row r="152" spans="1:21" ht="14.25">
      <c r="A152" s="134" t="s">
        <v>136</v>
      </c>
      <c r="B152" s="30"/>
      <c r="C152" s="30"/>
      <c r="D152" s="30"/>
      <c r="E152" s="30"/>
      <c r="F152" s="38"/>
      <c r="G152" s="38"/>
      <c r="H152" s="38"/>
      <c r="I152" s="38"/>
      <c r="J152" s="38"/>
      <c r="K152" s="38"/>
      <c r="L152" s="38"/>
      <c r="M152" s="38"/>
      <c r="N152" s="38"/>
      <c r="O152" s="38"/>
      <c r="P152" s="38"/>
      <c r="Q152" s="38"/>
      <c r="R152" s="38"/>
      <c r="S152" s="38"/>
      <c r="T152" s="44">
        <v>1</v>
      </c>
      <c r="U152" s="44"/>
    </row>
    <row r="153" spans="1:21" ht="14.25" customHeight="1">
      <c r="A153" s="30"/>
      <c r="B153" s="942" t="s">
        <v>373</v>
      </c>
      <c r="C153" s="943"/>
      <c r="D153" s="943"/>
      <c r="E153" s="943"/>
      <c r="F153" s="943"/>
      <c r="G153" s="943"/>
      <c r="H153" s="944"/>
      <c r="I153" s="527" t="s">
        <v>137</v>
      </c>
      <c r="J153" s="529"/>
      <c r="K153" s="527" t="s">
        <v>138</v>
      </c>
      <c r="L153" s="529"/>
      <c r="M153" s="527" t="s">
        <v>694</v>
      </c>
      <c r="N153" s="529"/>
      <c r="O153" s="527" t="s">
        <v>139</v>
      </c>
      <c r="P153" s="529"/>
      <c r="Q153" s="813" t="s">
        <v>695</v>
      </c>
      <c r="R153" s="815"/>
      <c r="S153" s="400"/>
      <c r="T153" s="44">
        <f>T152+1</f>
        <v>2</v>
      </c>
      <c r="U153" s="44"/>
    </row>
    <row r="154" spans="1:21" ht="14.25">
      <c r="A154" s="44"/>
      <c r="B154" s="945"/>
      <c r="C154" s="455"/>
      <c r="D154" s="455"/>
      <c r="E154" s="455"/>
      <c r="F154" s="455"/>
      <c r="G154" s="455"/>
      <c r="H154" s="946"/>
      <c r="I154" s="530"/>
      <c r="J154" s="532"/>
      <c r="K154" s="530"/>
      <c r="L154" s="532"/>
      <c r="M154" s="530"/>
      <c r="N154" s="532"/>
      <c r="O154" s="530"/>
      <c r="P154" s="532"/>
      <c r="Q154" s="808"/>
      <c r="R154" s="809"/>
      <c r="S154" s="400"/>
      <c r="T154" s="44">
        <f t="shared" ref="T154" si="44">T153+1</f>
        <v>3</v>
      </c>
      <c r="U154" s="44"/>
    </row>
    <row r="155" spans="1:21" ht="14.25">
      <c r="A155" s="44"/>
      <c r="B155" s="395">
        <v>1</v>
      </c>
      <c r="C155" s="941" t="str">
        <f>$D$32</f>
        <v>矩形ます(側面・底面浸透)</v>
      </c>
      <c r="D155" s="941"/>
      <c r="E155" s="941"/>
      <c r="F155" s="941"/>
      <c r="G155" s="941"/>
      <c r="H155" s="941"/>
      <c r="I155" s="516">
        <f>I32</f>
        <v>0</v>
      </c>
      <c r="J155" s="518"/>
      <c r="K155" s="516">
        <f>K32</f>
        <v>0</v>
      </c>
      <c r="L155" s="518"/>
      <c r="M155" s="760" t="str">
        <f>M32</f>
        <v>-</v>
      </c>
      <c r="N155" s="760"/>
      <c r="O155" s="516">
        <f>O32</f>
        <v>0</v>
      </c>
      <c r="P155" s="518"/>
      <c r="Q155" s="817">
        <f>Q32</f>
        <v>1</v>
      </c>
      <c r="R155" s="819"/>
      <c r="S155" s="401"/>
      <c r="T155" s="44">
        <f t="shared" ref="T155:T166" si="45">T154+1</f>
        <v>4</v>
      </c>
      <c r="U155" s="44"/>
    </row>
    <row r="156" spans="1:21" ht="14.25">
      <c r="A156" s="44"/>
      <c r="B156" s="395">
        <v>2</v>
      </c>
      <c r="C156" s="941" t="str">
        <f>$D$33</f>
        <v>浸透トレンチ</v>
      </c>
      <c r="D156" s="941"/>
      <c r="E156" s="941"/>
      <c r="F156" s="941"/>
      <c r="G156" s="941"/>
      <c r="H156" s="941"/>
      <c r="I156" s="516">
        <f>I33</f>
        <v>0.6</v>
      </c>
      <c r="J156" s="518"/>
      <c r="K156" s="516">
        <f>K33</f>
        <v>0.45</v>
      </c>
      <c r="L156" s="518"/>
      <c r="M156" s="760">
        <f>M33</f>
        <v>0.15</v>
      </c>
      <c r="N156" s="760"/>
      <c r="O156" s="516">
        <f>O33</f>
        <v>0</v>
      </c>
      <c r="P156" s="518"/>
      <c r="Q156" s="817">
        <f>Q33</f>
        <v>1</v>
      </c>
      <c r="R156" s="819"/>
      <c r="S156" s="401"/>
      <c r="T156" s="44">
        <f t="shared" si="45"/>
        <v>5</v>
      </c>
      <c r="U156" s="44"/>
    </row>
    <row r="157" spans="1:21" ht="14.25">
      <c r="A157" s="44"/>
      <c r="B157" s="395">
        <v>3</v>
      </c>
      <c r="C157" s="941" t="str">
        <f>$D$34</f>
        <v>正方形ます(側面・底面浸透)</v>
      </c>
      <c r="D157" s="941"/>
      <c r="E157" s="941"/>
      <c r="F157" s="941"/>
      <c r="G157" s="941"/>
      <c r="H157" s="941"/>
      <c r="I157" s="516">
        <f>I34</f>
        <v>0.7</v>
      </c>
      <c r="J157" s="518"/>
      <c r="K157" s="516">
        <f>K34</f>
        <v>0.7</v>
      </c>
      <c r="L157" s="518"/>
      <c r="M157" s="760">
        <f>M34</f>
        <v>0.3</v>
      </c>
      <c r="N157" s="760"/>
      <c r="O157" s="516" t="str">
        <f>O34</f>
        <v>-</v>
      </c>
      <c r="P157" s="518"/>
      <c r="Q157" s="817">
        <f>Q34</f>
        <v>0</v>
      </c>
      <c r="R157" s="819"/>
      <c r="S157" s="401"/>
      <c r="T157" s="44">
        <f t="shared" si="45"/>
        <v>6</v>
      </c>
      <c r="U157" s="44"/>
    </row>
    <row r="158" spans="1:21" ht="14.25">
      <c r="A158" s="30"/>
      <c r="B158" s="327"/>
      <c r="C158" s="327"/>
      <c r="D158" s="327"/>
      <c r="E158" s="327"/>
      <c r="F158" s="327"/>
      <c r="G158" s="327"/>
      <c r="H158" s="327"/>
      <c r="I158" s="327"/>
      <c r="J158" s="327"/>
      <c r="K158" s="327"/>
      <c r="L158" s="327"/>
      <c r="M158" s="30"/>
      <c r="N158" s="327"/>
      <c r="O158" s="327"/>
      <c r="P158" s="30"/>
      <c r="Q158" s="30"/>
      <c r="R158" s="30"/>
      <c r="S158" s="30"/>
      <c r="T158" s="44">
        <f t="shared" si="45"/>
        <v>7</v>
      </c>
      <c r="U158" s="44"/>
    </row>
    <row r="159" spans="1:21" ht="14.25">
      <c r="A159" s="30"/>
      <c r="B159" s="38" t="s">
        <v>140</v>
      </c>
      <c r="C159" s="30"/>
      <c r="D159" s="30"/>
      <c r="E159" s="30"/>
      <c r="F159" s="202"/>
      <c r="G159" s="30"/>
      <c r="H159" s="30"/>
      <c r="I159" s="30"/>
      <c r="J159" s="30"/>
      <c r="K159" s="30"/>
      <c r="L159" s="30"/>
      <c r="M159" s="30"/>
      <c r="N159" s="30"/>
      <c r="O159" s="30"/>
      <c r="P159" s="30"/>
      <c r="Q159" s="30"/>
      <c r="R159" s="30"/>
      <c r="S159" s="30"/>
      <c r="T159" s="44">
        <f t="shared" si="45"/>
        <v>8</v>
      </c>
      <c r="U159" s="44"/>
    </row>
    <row r="160" spans="1:21" ht="14.25">
      <c r="A160" s="44"/>
      <c r="B160" s="402"/>
      <c r="C160" s="813" t="s">
        <v>141</v>
      </c>
      <c r="D160" s="814"/>
      <c r="E160" s="805" t="s">
        <v>46</v>
      </c>
      <c r="F160" s="806"/>
      <c r="G160" s="805" t="s">
        <v>142</v>
      </c>
      <c r="H160" s="806"/>
      <c r="I160" s="807"/>
      <c r="J160" s="813" t="s">
        <v>143</v>
      </c>
      <c r="K160" s="815"/>
      <c r="L160" s="813" t="s">
        <v>143</v>
      </c>
      <c r="M160" s="815"/>
      <c r="N160" s="813" t="s">
        <v>144</v>
      </c>
      <c r="O160" s="815"/>
      <c r="P160" s="805" t="s">
        <v>145</v>
      </c>
      <c r="Q160" s="806"/>
      <c r="R160" s="807"/>
      <c r="S160" s="327"/>
      <c r="T160" s="44">
        <f t="shared" si="45"/>
        <v>9</v>
      </c>
      <c r="U160" s="44"/>
    </row>
    <row r="161" spans="1:21" ht="14.25">
      <c r="A161" s="44"/>
      <c r="B161" s="403"/>
      <c r="C161" s="808" t="s">
        <v>146</v>
      </c>
      <c r="D161" s="816"/>
      <c r="E161" s="810" t="s">
        <v>147</v>
      </c>
      <c r="F161" s="811"/>
      <c r="G161" s="810" t="s">
        <v>148</v>
      </c>
      <c r="H161" s="811"/>
      <c r="I161" s="812"/>
      <c r="J161" s="808" t="s">
        <v>474</v>
      </c>
      <c r="K161" s="809"/>
      <c r="L161" s="808" t="s">
        <v>475</v>
      </c>
      <c r="M161" s="809"/>
      <c r="N161" s="808" t="s">
        <v>149</v>
      </c>
      <c r="O161" s="809"/>
      <c r="P161" s="810" t="s">
        <v>150</v>
      </c>
      <c r="Q161" s="811"/>
      <c r="R161" s="812"/>
      <c r="S161" s="327"/>
      <c r="T161" s="44">
        <f t="shared" si="45"/>
        <v>10</v>
      </c>
      <c r="U161" s="44"/>
    </row>
    <row r="162" spans="1:21" ht="14.25">
      <c r="A162" s="44"/>
      <c r="B162" s="395">
        <v>1</v>
      </c>
      <c r="C162" s="827">
        <f>IF(O155&gt;0,AL44,0)</f>
        <v>0</v>
      </c>
      <c r="D162" s="828"/>
      <c r="E162" s="799">
        <f>IF(O155&gt;0,AN44,0)</f>
        <v>0</v>
      </c>
      <c r="F162" s="800"/>
      <c r="G162" s="802">
        <f>IF(O155&gt;0,AP44,0)</f>
        <v>0</v>
      </c>
      <c r="H162" s="803"/>
      <c r="I162" s="804"/>
      <c r="J162" s="433">
        <f>IF(O155&gt;0,AR44,0)</f>
        <v>0</v>
      </c>
      <c r="K162" s="434"/>
      <c r="L162" s="433">
        <f>IF(O155&gt;0,AT44,0)</f>
        <v>0</v>
      </c>
      <c r="M162" s="434"/>
      <c r="N162" s="516">
        <f>IF(O155&gt;0,AV44,0)</f>
        <v>0</v>
      </c>
      <c r="O162" s="518"/>
      <c r="P162" s="799">
        <f>IF(O155&gt;0,AX44,0)</f>
        <v>0</v>
      </c>
      <c r="Q162" s="800"/>
      <c r="R162" s="801"/>
      <c r="S162" s="327"/>
      <c r="T162" s="44">
        <f t="shared" si="45"/>
        <v>11</v>
      </c>
      <c r="U162" s="44"/>
    </row>
    <row r="163" spans="1:21" ht="14.25">
      <c r="A163" s="44"/>
      <c r="B163" s="395">
        <v>2</v>
      </c>
      <c r="C163" s="799">
        <f>IF(O156&gt;0,AL45,0)</f>
        <v>0</v>
      </c>
      <c r="D163" s="800"/>
      <c r="E163" s="799">
        <f>IF(O156&gt;0,AN45,0)</f>
        <v>0</v>
      </c>
      <c r="F163" s="800"/>
      <c r="G163" s="802">
        <f>IF(O156&gt;0,AP45,0)</f>
        <v>0</v>
      </c>
      <c r="H163" s="803"/>
      <c r="I163" s="804"/>
      <c r="J163" s="433">
        <f>IF(O156&gt;0,AR45,0)</f>
        <v>0</v>
      </c>
      <c r="K163" s="434"/>
      <c r="L163" s="433">
        <f>IF(O156&gt;0,AT45,0)</f>
        <v>0</v>
      </c>
      <c r="M163" s="434"/>
      <c r="N163" s="516">
        <f>IF(O156&gt;0,AV45,0)</f>
        <v>0</v>
      </c>
      <c r="O163" s="518"/>
      <c r="P163" s="799">
        <f>IF(O156&gt;0,AX45,0)</f>
        <v>0</v>
      </c>
      <c r="Q163" s="800"/>
      <c r="R163" s="801"/>
      <c r="S163" s="327"/>
      <c r="T163" s="44">
        <f t="shared" si="45"/>
        <v>12</v>
      </c>
      <c r="U163" s="44"/>
    </row>
    <row r="164" spans="1:21" ht="14.25">
      <c r="A164" s="44"/>
      <c r="B164" s="395">
        <v>3</v>
      </c>
      <c r="C164" s="799">
        <f>IF(Q157&gt;0,AL46,0)</f>
        <v>0</v>
      </c>
      <c r="D164" s="800"/>
      <c r="E164" s="799">
        <f>IF(Q157&gt;0,AN46,0)</f>
        <v>0</v>
      </c>
      <c r="F164" s="800"/>
      <c r="G164" s="802">
        <f>IF(Q157&gt;0,AP46,0)</f>
        <v>0</v>
      </c>
      <c r="H164" s="803"/>
      <c r="I164" s="804"/>
      <c r="J164" s="433">
        <f>IF(Q157&gt;0,AR46,0)</f>
        <v>0</v>
      </c>
      <c r="K164" s="434"/>
      <c r="L164" s="433">
        <f>IF(Q157&gt;0,AT46,0)</f>
        <v>0</v>
      </c>
      <c r="M164" s="434"/>
      <c r="N164" s="516">
        <f>IF(Q157&gt;0,AV46,0)</f>
        <v>0</v>
      </c>
      <c r="O164" s="518"/>
      <c r="P164" s="799">
        <f>IF(Q157&gt;0,AX46,0)</f>
        <v>0</v>
      </c>
      <c r="Q164" s="800"/>
      <c r="R164" s="801"/>
      <c r="S164" s="327"/>
      <c r="T164" s="44">
        <f t="shared" si="45"/>
        <v>13</v>
      </c>
      <c r="U164" s="44"/>
    </row>
    <row r="165" spans="1:21" ht="14.25">
      <c r="A165" s="30"/>
      <c r="D165" s="30"/>
      <c r="E165" s="30"/>
      <c r="F165" s="38"/>
      <c r="G165" s="38"/>
      <c r="H165" s="38"/>
      <c r="I165" s="38"/>
      <c r="J165" s="38"/>
      <c r="K165" s="38"/>
      <c r="L165" s="38"/>
      <c r="M165" s="38"/>
      <c r="N165" s="38"/>
      <c r="O165" s="38"/>
      <c r="P165" s="38"/>
      <c r="Q165" s="38"/>
      <c r="R165" s="38"/>
      <c r="S165" s="38"/>
      <c r="T165" s="44">
        <f t="shared" si="45"/>
        <v>14</v>
      </c>
      <c r="U165" s="44"/>
    </row>
    <row r="166" spans="1:21" ht="16.5">
      <c r="A166" s="30"/>
      <c r="B166" s="38"/>
      <c r="C166" s="203" t="s">
        <v>105</v>
      </c>
      <c r="D166" s="203" t="s">
        <v>75</v>
      </c>
      <c r="E166" s="203" t="s">
        <v>79</v>
      </c>
      <c r="F166" s="203" t="s">
        <v>130</v>
      </c>
      <c r="G166" s="203" t="s">
        <v>151</v>
      </c>
      <c r="H166" s="203"/>
      <c r="I166" s="203"/>
      <c r="J166" s="30"/>
      <c r="K166" s="30"/>
      <c r="L166" s="30"/>
      <c r="M166" s="30"/>
      <c r="N166" s="30"/>
      <c r="O166" s="30"/>
      <c r="P166" s="30"/>
      <c r="Q166" s="30"/>
      <c r="R166" s="30"/>
      <c r="S166" s="30"/>
      <c r="T166" s="44">
        <f t="shared" si="45"/>
        <v>15</v>
      </c>
      <c r="U166" s="44"/>
    </row>
    <row r="167" spans="1:21" ht="16.5">
      <c r="A167" s="30"/>
      <c r="B167" s="38"/>
      <c r="C167" s="44" t="s">
        <v>100</v>
      </c>
      <c r="D167" s="46"/>
      <c r="E167" s="47" t="s">
        <v>105</v>
      </c>
      <c r="F167" s="202" t="s">
        <v>102</v>
      </c>
      <c r="G167" s="30" t="s">
        <v>152</v>
      </c>
      <c r="H167" s="30"/>
      <c r="I167" s="30"/>
      <c r="J167" s="30"/>
      <c r="K167" s="30"/>
      <c r="L167" s="30"/>
      <c r="M167" s="30"/>
      <c r="N167" s="30"/>
      <c r="O167" s="30"/>
      <c r="P167" s="30"/>
      <c r="Q167" s="30"/>
      <c r="R167" s="30"/>
      <c r="S167" s="30"/>
      <c r="T167" s="44">
        <f t="shared" ref="T167:T230" si="46">T166+1</f>
        <v>16</v>
      </c>
      <c r="U167" s="44"/>
    </row>
    <row r="168" spans="1:21" ht="14.25">
      <c r="A168" s="30"/>
      <c r="B168" s="38"/>
      <c r="C168" s="44"/>
      <c r="D168" s="46"/>
      <c r="E168" s="47" t="s">
        <v>79</v>
      </c>
      <c r="F168" s="202" t="s">
        <v>102</v>
      </c>
      <c r="G168" s="30" t="s">
        <v>511</v>
      </c>
      <c r="H168" s="30"/>
      <c r="I168" s="30"/>
      <c r="J168" s="30"/>
      <c r="K168" s="30"/>
      <c r="L168" s="30"/>
      <c r="M168" s="30"/>
      <c r="N168" s="30"/>
      <c r="O168" s="30"/>
      <c r="P168" s="30"/>
      <c r="Q168" s="30"/>
      <c r="R168" s="30"/>
      <c r="S168" s="30"/>
      <c r="T168" s="44">
        <f t="shared" si="46"/>
        <v>17</v>
      </c>
      <c r="U168" s="44"/>
    </row>
    <row r="169" spans="1:21" ht="14.25">
      <c r="A169" s="30"/>
      <c r="B169" s="38"/>
      <c r="C169" s="44"/>
      <c r="D169" s="46"/>
      <c r="E169" s="47" t="s">
        <v>153</v>
      </c>
      <c r="F169" s="202" t="s">
        <v>102</v>
      </c>
      <c r="G169" s="30" t="s">
        <v>154</v>
      </c>
      <c r="H169" s="30"/>
      <c r="I169" s="30"/>
      <c r="J169" s="30"/>
      <c r="K169" s="30"/>
      <c r="L169" s="30"/>
      <c r="M169" s="30"/>
      <c r="N169" s="30"/>
      <c r="O169" s="30"/>
      <c r="P169" s="30"/>
      <c r="Q169" s="30"/>
      <c r="R169" s="30"/>
      <c r="S169" s="30"/>
      <c r="T169" s="44">
        <f t="shared" si="46"/>
        <v>18</v>
      </c>
      <c r="U169" s="44"/>
    </row>
    <row r="170" spans="1:21" ht="14.25">
      <c r="A170" s="30"/>
      <c r="B170" s="30"/>
      <c r="C170" s="44"/>
      <c r="D170" s="46"/>
      <c r="E170" s="47" t="s">
        <v>155</v>
      </c>
      <c r="F170" s="202" t="s">
        <v>102</v>
      </c>
      <c r="G170" s="30" t="s">
        <v>156</v>
      </c>
      <c r="H170" s="30"/>
      <c r="I170" s="30"/>
      <c r="J170" s="30"/>
      <c r="K170" s="30"/>
      <c r="L170" s="30"/>
      <c r="M170" s="30"/>
      <c r="N170" s="30"/>
      <c r="O170" s="30"/>
      <c r="P170" s="30"/>
      <c r="Q170" s="30"/>
      <c r="R170" s="30"/>
      <c r="S170" s="30"/>
      <c r="T170" s="44">
        <f t="shared" si="46"/>
        <v>19</v>
      </c>
      <c r="U170" s="44"/>
    </row>
    <row r="171" spans="1:21" ht="14.25">
      <c r="A171" s="30"/>
      <c r="B171" s="30"/>
      <c r="C171" s="44"/>
      <c r="D171" s="46"/>
      <c r="E171" s="47"/>
      <c r="F171" s="202"/>
      <c r="G171" s="30" t="s">
        <v>157</v>
      </c>
      <c r="H171" s="30"/>
      <c r="I171" s="30"/>
      <c r="J171" s="30"/>
      <c r="K171" s="30"/>
      <c r="L171" s="30"/>
      <c r="M171" s="30"/>
      <c r="N171" s="30"/>
      <c r="O171" s="30"/>
      <c r="P171" s="30"/>
      <c r="Q171" s="30"/>
      <c r="R171" s="30"/>
      <c r="S171" s="30"/>
      <c r="T171" s="44">
        <f t="shared" si="46"/>
        <v>20</v>
      </c>
      <c r="U171" s="44"/>
    </row>
    <row r="172" spans="1:21" ht="14.25">
      <c r="A172" s="30"/>
      <c r="B172" s="30"/>
      <c r="C172" s="44"/>
      <c r="D172" s="46"/>
      <c r="E172" s="47"/>
      <c r="F172" s="202"/>
      <c r="G172" s="30" t="s">
        <v>158</v>
      </c>
      <c r="H172" s="30"/>
      <c r="I172" s="30"/>
      <c r="J172" s="30"/>
      <c r="K172" s="30"/>
      <c r="L172" s="30"/>
      <c r="M172" s="30"/>
      <c r="N172" s="30"/>
      <c r="O172" s="30"/>
      <c r="P172" s="30"/>
      <c r="Q172" s="30"/>
      <c r="R172" s="30"/>
      <c r="S172" s="30"/>
      <c r="T172" s="44">
        <f t="shared" si="46"/>
        <v>21</v>
      </c>
      <c r="U172" s="44"/>
    </row>
    <row r="173" spans="1:21" ht="14.25">
      <c r="A173" s="30"/>
      <c r="B173" s="30"/>
      <c r="C173" s="44"/>
      <c r="D173" s="46"/>
      <c r="E173" s="47" t="s">
        <v>149</v>
      </c>
      <c r="F173" s="202" t="s">
        <v>102</v>
      </c>
      <c r="G173" s="30" t="s">
        <v>461</v>
      </c>
      <c r="H173" s="30"/>
      <c r="I173" s="30"/>
      <c r="J173" s="30"/>
      <c r="K173" s="30"/>
      <c r="L173" s="30"/>
      <c r="M173" s="30"/>
      <c r="N173" s="30"/>
      <c r="O173" s="30"/>
      <c r="P173" s="30"/>
      <c r="Q173" s="30"/>
      <c r="R173" s="30"/>
      <c r="S173" s="30"/>
      <c r="T173" s="44">
        <f t="shared" si="46"/>
        <v>22</v>
      </c>
      <c r="U173" s="44"/>
    </row>
    <row r="174" spans="1:21" ht="14.25">
      <c r="A174" s="30"/>
      <c r="B174" s="38"/>
      <c r="C174" s="44"/>
      <c r="D174" s="46"/>
      <c r="E174" s="47" t="s">
        <v>151</v>
      </c>
      <c r="F174" s="202" t="s">
        <v>102</v>
      </c>
      <c r="G174" s="30" t="s">
        <v>159</v>
      </c>
      <c r="H174" s="30"/>
      <c r="I174" s="30"/>
      <c r="J174" s="30"/>
      <c r="K174" s="30"/>
      <c r="L174" s="30"/>
      <c r="M174" s="30"/>
      <c r="N174" s="30"/>
      <c r="O174" s="30"/>
      <c r="P174" s="30"/>
      <c r="Q174" s="30"/>
      <c r="R174" s="30"/>
      <c r="S174" s="30"/>
      <c r="T174" s="44">
        <f t="shared" si="46"/>
        <v>23</v>
      </c>
      <c r="U174" s="44"/>
    </row>
    <row r="175" spans="1:21" ht="14.25">
      <c r="A175" s="30"/>
      <c r="B175" s="38"/>
      <c r="C175" s="203" t="s">
        <v>151</v>
      </c>
      <c r="D175" s="203" t="s">
        <v>75</v>
      </c>
      <c r="E175" s="203" t="s">
        <v>160</v>
      </c>
      <c r="F175" s="203" t="s">
        <v>130</v>
      </c>
      <c r="G175" s="203" t="s">
        <v>161</v>
      </c>
      <c r="H175" s="30"/>
      <c r="I175" s="30"/>
      <c r="J175" s="30"/>
      <c r="K175" s="30"/>
      <c r="L175" s="30"/>
      <c r="M175" s="30"/>
      <c r="N175" s="30"/>
      <c r="O175" s="30"/>
      <c r="P175" s="30"/>
      <c r="Q175" s="30"/>
      <c r="R175" s="30"/>
      <c r="S175" s="30"/>
      <c r="T175" s="44">
        <f t="shared" si="46"/>
        <v>24</v>
      </c>
      <c r="U175" s="44"/>
    </row>
    <row r="176" spans="1:21" ht="14.25">
      <c r="A176" s="30"/>
      <c r="B176" s="30"/>
      <c r="C176" s="30"/>
      <c r="D176" s="30"/>
      <c r="E176" s="50" t="s">
        <v>160</v>
      </c>
      <c r="F176" s="202" t="s">
        <v>102</v>
      </c>
      <c r="G176" s="30" t="s">
        <v>46</v>
      </c>
      <c r="H176" s="30"/>
      <c r="I176" s="30"/>
      <c r="J176" s="30"/>
      <c r="K176" s="30"/>
      <c r="L176" s="30"/>
      <c r="M176" s="30"/>
      <c r="N176" s="30"/>
      <c r="O176" s="30"/>
      <c r="P176" s="30"/>
      <c r="Q176" s="30"/>
      <c r="R176" s="30"/>
      <c r="S176" s="30"/>
      <c r="T176" s="44">
        <f t="shared" si="46"/>
        <v>25</v>
      </c>
      <c r="U176" s="44"/>
    </row>
    <row r="177" spans="1:21" ht="14.25">
      <c r="A177" s="30"/>
      <c r="B177" s="30"/>
      <c r="C177" s="30"/>
      <c r="D177" s="30"/>
      <c r="E177" s="50" t="s">
        <v>161</v>
      </c>
      <c r="F177" s="202" t="s">
        <v>102</v>
      </c>
      <c r="G177" s="30" t="s">
        <v>162</v>
      </c>
      <c r="H177" s="30"/>
      <c r="I177" s="30"/>
      <c r="J177" s="30"/>
      <c r="K177" s="30"/>
      <c r="L177" s="30"/>
      <c r="M177" s="30"/>
      <c r="N177" s="30"/>
      <c r="O177" s="30"/>
      <c r="P177" s="30"/>
      <c r="Q177" s="30"/>
      <c r="R177" s="30"/>
      <c r="S177" s="30"/>
      <c r="T177" s="44">
        <f t="shared" si="46"/>
        <v>26</v>
      </c>
      <c r="U177" s="44"/>
    </row>
    <row r="178" spans="1:21" ht="14.25">
      <c r="A178" s="30"/>
      <c r="B178" s="30"/>
      <c r="C178" s="30"/>
      <c r="D178" s="30"/>
      <c r="E178" s="50"/>
      <c r="F178" s="202"/>
      <c r="G178" s="30"/>
      <c r="H178" s="30"/>
      <c r="I178" s="30"/>
      <c r="J178" s="30"/>
      <c r="K178" s="30"/>
      <c r="L178" s="30"/>
      <c r="M178" s="30"/>
      <c r="N178" s="30"/>
      <c r="O178" s="30"/>
      <c r="P178" s="30"/>
      <c r="Q178" s="30"/>
      <c r="R178" s="30"/>
      <c r="S178" s="30"/>
      <c r="T178" s="44">
        <f t="shared" si="46"/>
        <v>27</v>
      </c>
      <c r="U178" s="44"/>
    </row>
    <row r="179" spans="1:21" ht="14.25">
      <c r="A179" s="30"/>
      <c r="B179" s="30"/>
      <c r="C179" s="30" t="s">
        <v>163</v>
      </c>
      <c r="D179" s="30"/>
      <c r="E179" s="310"/>
      <c r="F179" s="30"/>
      <c r="G179" s="30"/>
      <c r="H179" s="30"/>
      <c r="I179" s="30"/>
      <c r="J179" s="30"/>
      <c r="K179" s="30"/>
      <c r="L179" s="30"/>
      <c r="M179" s="30"/>
      <c r="N179" s="30"/>
      <c r="O179" s="30"/>
      <c r="P179" s="30"/>
      <c r="Q179" s="30"/>
      <c r="R179" s="30"/>
      <c r="S179" s="30"/>
      <c r="T179" s="44">
        <f t="shared" si="46"/>
        <v>28</v>
      </c>
      <c r="U179" s="44"/>
    </row>
    <row r="180" spans="1:21" ht="14.25">
      <c r="A180" s="30"/>
      <c r="B180" s="30"/>
      <c r="C180" s="318"/>
      <c r="D180" s="318"/>
      <c r="E180" s="318"/>
      <c r="F180" s="318"/>
      <c r="G180" s="319"/>
      <c r="H180" s="319"/>
      <c r="I180" s="319"/>
      <c r="J180" s="319"/>
      <c r="K180" s="319"/>
      <c r="L180" s="319"/>
      <c r="M180" s="319"/>
      <c r="N180" s="319"/>
      <c r="O180" s="319"/>
      <c r="P180" s="319"/>
      <c r="Q180" s="319"/>
      <c r="R180" s="319"/>
      <c r="S180" s="30"/>
      <c r="T180" s="44">
        <f t="shared" si="46"/>
        <v>29</v>
      </c>
      <c r="U180" s="44"/>
    </row>
    <row r="181" spans="1:21" ht="14.25">
      <c r="A181" s="30"/>
      <c r="B181" s="30"/>
      <c r="C181" s="318"/>
      <c r="D181" s="318"/>
      <c r="E181" s="318"/>
      <c r="F181" s="318"/>
      <c r="G181" s="319"/>
      <c r="H181" s="319"/>
      <c r="I181" s="319"/>
      <c r="J181" s="319"/>
      <c r="K181" s="319"/>
      <c r="L181" s="319"/>
      <c r="M181" s="319"/>
      <c r="N181" s="319"/>
      <c r="O181" s="319"/>
      <c r="P181" s="319"/>
      <c r="Q181" s="319"/>
      <c r="R181" s="319"/>
      <c r="S181" s="30"/>
      <c r="T181" s="44">
        <f t="shared" si="46"/>
        <v>30</v>
      </c>
      <c r="U181" s="44"/>
    </row>
    <row r="182" spans="1:21" ht="14.25">
      <c r="A182" s="30"/>
      <c r="B182" s="30"/>
      <c r="C182" s="40"/>
      <c r="D182" s="318"/>
      <c r="E182" s="318"/>
      <c r="F182" s="318"/>
      <c r="G182" s="313"/>
      <c r="H182" s="313"/>
      <c r="I182" s="313"/>
      <c r="J182" s="313"/>
      <c r="K182" s="313"/>
      <c r="L182" s="313"/>
      <c r="M182" s="313"/>
      <c r="N182" s="313"/>
      <c r="O182" s="313"/>
      <c r="P182" s="313"/>
      <c r="Q182" s="313"/>
      <c r="R182" s="313"/>
      <c r="S182" s="30"/>
      <c r="T182" s="44">
        <f t="shared" si="46"/>
        <v>31</v>
      </c>
      <c r="U182" s="44"/>
    </row>
    <row r="183" spans="1:21" ht="14.25">
      <c r="A183" s="30"/>
      <c r="B183" s="30"/>
      <c r="C183" s="318"/>
      <c r="D183" s="318"/>
      <c r="E183" s="318"/>
      <c r="F183" s="318"/>
      <c r="G183" s="313"/>
      <c r="H183" s="313"/>
      <c r="I183" s="313"/>
      <c r="J183" s="313"/>
      <c r="K183" s="313"/>
      <c r="L183" s="313"/>
      <c r="M183" s="313"/>
      <c r="N183" s="313"/>
      <c r="O183" s="313"/>
      <c r="P183" s="313"/>
      <c r="Q183" s="313"/>
      <c r="R183" s="313"/>
      <c r="S183" s="30"/>
      <c r="T183" s="44">
        <f t="shared" si="46"/>
        <v>32</v>
      </c>
      <c r="U183" s="44"/>
    </row>
    <row r="184" spans="1:21" ht="14.25">
      <c r="A184" s="30"/>
      <c r="B184" s="30"/>
      <c r="C184" s="318"/>
      <c r="D184" s="318"/>
      <c r="E184" s="318"/>
      <c r="F184" s="318"/>
      <c r="G184" s="313"/>
      <c r="H184" s="313"/>
      <c r="I184" s="313"/>
      <c r="J184" s="313"/>
      <c r="K184" s="313"/>
      <c r="L184" s="313"/>
      <c r="M184" s="313"/>
      <c r="N184" s="313"/>
      <c r="O184" s="313"/>
      <c r="P184" s="313"/>
      <c r="Q184" s="313"/>
      <c r="R184" s="313"/>
      <c r="S184" s="30"/>
      <c r="T184" s="44">
        <f t="shared" si="46"/>
        <v>33</v>
      </c>
      <c r="U184" s="44"/>
    </row>
    <row r="185" spans="1:21" ht="14.25">
      <c r="A185" s="30"/>
      <c r="B185" s="30"/>
      <c r="C185" s="318"/>
      <c r="D185" s="318"/>
      <c r="E185" s="318"/>
      <c r="F185" s="318"/>
      <c r="G185" s="313"/>
      <c r="H185" s="313"/>
      <c r="I185" s="313"/>
      <c r="J185" s="313"/>
      <c r="K185" s="313"/>
      <c r="L185" s="313"/>
      <c r="M185" s="313"/>
      <c r="N185" s="313"/>
      <c r="O185" s="313"/>
      <c r="P185" s="313"/>
      <c r="Q185" s="313"/>
      <c r="R185" s="313"/>
      <c r="S185" s="30"/>
      <c r="T185" s="44">
        <f t="shared" si="46"/>
        <v>34</v>
      </c>
      <c r="U185" s="44"/>
    </row>
    <row r="186" spans="1:21" ht="14.25">
      <c r="A186" s="30"/>
      <c r="B186" s="30"/>
      <c r="C186" s="320"/>
      <c r="D186" s="320"/>
      <c r="E186" s="321"/>
      <c r="F186" s="321"/>
      <c r="G186" s="319"/>
      <c r="H186" s="319"/>
      <c r="I186" s="319"/>
      <c r="J186" s="319"/>
      <c r="K186" s="319"/>
      <c r="L186" s="319"/>
      <c r="M186" s="319"/>
      <c r="N186" s="319"/>
      <c r="O186" s="319"/>
      <c r="P186" s="319"/>
      <c r="Q186" s="319"/>
      <c r="R186" s="319"/>
      <c r="S186" s="30"/>
      <c r="T186" s="44">
        <f t="shared" si="46"/>
        <v>35</v>
      </c>
      <c r="U186" s="44"/>
    </row>
    <row r="187" spans="1:21" ht="14.25">
      <c r="A187" s="30"/>
      <c r="B187" s="30"/>
      <c r="C187" s="320"/>
      <c r="D187" s="320"/>
      <c r="E187" s="321"/>
      <c r="F187" s="321"/>
      <c r="G187" s="319"/>
      <c r="H187" s="319"/>
      <c r="I187" s="319"/>
      <c r="J187" s="319"/>
      <c r="K187" s="319"/>
      <c r="L187" s="319"/>
      <c r="M187" s="319"/>
      <c r="N187" s="319"/>
      <c r="O187" s="319"/>
      <c r="P187" s="319"/>
      <c r="Q187" s="319"/>
      <c r="R187" s="319"/>
      <c r="S187" s="30"/>
      <c r="T187" s="44">
        <f t="shared" si="46"/>
        <v>36</v>
      </c>
      <c r="U187" s="44"/>
    </row>
    <row r="188" spans="1:21" ht="14.25">
      <c r="A188" s="30"/>
      <c r="B188" s="30"/>
      <c r="C188" s="318"/>
      <c r="D188" s="318"/>
      <c r="E188" s="318"/>
      <c r="F188" s="318"/>
      <c r="G188" s="319"/>
      <c r="H188" s="319"/>
      <c r="I188" s="319"/>
      <c r="J188" s="319"/>
      <c r="K188" s="319"/>
      <c r="L188" s="319"/>
      <c r="M188" s="319"/>
      <c r="N188" s="319"/>
      <c r="O188" s="319"/>
      <c r="P188" s="319"/>
      <c r="Q188" s="319"/>
      <c r="R188" s="319"/>
      <c r="S188" s="30"/>
      <c r="T188" s="44">
        <f t="shared" si="46"/>
        <v>37</v>
      </c>
      <c r="U188" s="44"/>
    </row>
    <row r="189" spans="1:21" ht="14.25">
      <c r="A189" s="30"/>
      <c r="B189" s="30"/>
      <c r="C189" s="318"/>
      <c r="D189" s="318"/>
      <c r="E189" s="318"/>
      <c r="F189" s="318"/>
      <c r="G189" s="319"/>
      <c r="H189" s="319"/>
      <c r="I189" s="319"/>
      <c r="J189" s="319"/>
      <c r="K189" s="319"/>
      <c r="L189" s="319"/>
      <c r="M189" s="319"/>
      <c r="N189" s="319"/>
      <c r="O189" s="319"/>
      <c r="P189" s="319"/>
      <c r="Q189" s="319"/>
      <c r="R189" s="319"/>
      <c r="S189" s="30"/>
      <c r="T189" s="44">
        <f t="shared" si="46"/>
        <v>38</v>
      </c>
      <c r="U189" s="44"/>
    </row>
    <row r="190" spans="1:21" ht="14.25">
      <c r="A190" s="30"/>
      <c r="B190" s="30"/>
      <c r="C190" s="318"/>
      <c r="D190" s="318"/>
      <c r="E190" s="318"/>
      <c r="F190" s="318"/>
      <c r="G190" s="319"/>
      <c r="H190" s="319"/>
      <c r="I190" s="319"/>
      <c r="J190" s="319"/>
      <c r="K190" s="319"/>
      <c r="L190" s="319"/>
      <c r="M190" s="319"/>
      <c r="N190" s="319"/>
      <c r="O190" s="319"/>
      <c r="P190" s="319"/>
      <c r="Q190" s="319"/>
      <c r="R190" s="319"/>
      <c r="S190" s="30"/>
      <c r="T190" s="44">
        <f t="shared" si="46"/>
        <v>39</v>
      </c>
      <c r="U190" s="44"/>
    </row>
    <row r="191" spans="1:21" ht="14.25">
      <c r="A191" s="30"/>
      <c r="B191" s="30"/>
      <c r="C191" s="318"/>
      <c r="D191" s="318"/>
      <c r="E191" s="318"/>
      <c r="F191" s="318"/>
      <c r="G191" s="319"/>
      <c r="H191" s="319"/>
      <c r="I191" s="319"/>
      <c r="J191" s="319"/>
      <c r="K191" s="319"/>
      <c r="L191" s="319"/>
      <c r="M191" s="319"/>
      <c r="N191" s="319"/>
      <c r="O191" s="319"/>
      <c r="P191" s="319"/>
      <c r="Q191" s="319"/>
      <c r="R191" s="319"/>
      <c r="S191" s="30"/>
      <c r="T191" s="44">
        <f t="shared" si="46"/>
        <v>40</v>
      </c>
      <c r="U191" s="44"/>
    </row>
    <row r="192" spans="1:21" ht="14.25">
      <c r="A192" s="30"/>
      <c r="B192" s="30"/>
      <c r="C192" s="318"/>
      <c r="D192" s="318"/>
      <c r="E192" s="318"/>
      <c r="F192" s="318"/>
      <c r="G192" s="322"/>
      <c r="H192" s="322"/>
      <c r="I192" s="322"/>
      <c r="J192" s="322"/>
      <c r="K192" s="322"/>
      <c r="L192" s="322"/>
      <c r="M192" s="322"/>
      <c r="N192" s="322"/>
      <c r="O192" s="322"/>
      <c r="P192" s="322"/>
      <c r="Q192" s="322"/>
      <c r="R192" s="322"/>
      <c r="S192" s="30"/>
      <c r="T192" s="44">
        <f t="shared" si="46"/>
        <v>41</v>
      </c>
      <c r="U192" s="44"/>
    </row>
    <row r="193" spans="1:67" ht="14.25">
      <c r="A193" s="30"/>
      <c r="B193" s="30"/>
      <c r="C193" s="318"/>
      <c r="D193" s="318"/>
      <c r="E193" s="318"/>
      <c r="F193" s="318"/>
      <c r="G193" s="319"/>
      <c r="H193" s="319"/>
      <c r="I193" s="319"/>
      <c r="J193" s="319"/>
      <c r="K193" s="319"/>
      <c r="L193" s="319"/>
      <c r="M193" s="319"/>
      <c r="N193" s="319"/>
      <c r="O193" s="319"/>
      <c r="P193" s="319"/>
      <c r="Q193" s="319"/>
      <c r="R193" s="319"/>
      <c r="S193" s="30"/>
      <c r="T193" s="44">
        <f t="shared" si="46"/>
        <v>42</v>
      </c>
      <c r="U193" s="44"/>
    </row>
    <row r="194" spans="1:67" s="170" customFormat="1" ht="14.25">
      <c r="A194" s="30"/>
      <c r="B194" s="30"/>
      <c r="C194" s="30"/>
      <c r="D194" s="30"/>
      <c r="E194" s="30"/>
      <c r="F194" s="30"/>
      <c r="G194" s="30"/>
      <c r="H194" s="30"/>
      <c r="I194" s="30"/>
      <c r="J194" s="30"/>
      <c r="K194" s="30"/>
      <c r="L194" s="30"/>
      <c r="M194" s="30"/>
      <c r="N194" s="30"/>
      <c r="O194" s="30"/>
      <c r="P194" s="30"/>
      <c r="Q194" s="30"/>
      <c r="R194" s="30"/>
      <c r="S194" s="30"/>
      <c r="T194" s="44">
        <f t="shared" si="46"/>
        <v>43</v>
      </c>
      <c r="U194" s="44"/>
      <c r="AK194" s="1"/>
      <c r="AL194" s="1"/>
      <c r="AM194" s="1"/>
      <c r="AN194" s="1"/>
      <c r="AO194" s="1"/>
      <c r="AP194" s="1"/>
      <c r="AQ194" s="1"/>
      <c r="AR194" s="1"/>
      <c r="AS194" s="1"/>
      <c r="AT194" s="1"/>
      <c r="AU194" s="1"/>
      <c r="AV194" s="1"/>
      <c r="AW194" s="1"/>
      <c r="AX194" s="1"/>
      <c r="AY194" s="1"/>
      <c r="AZ194" s="1"/>
      <c r="BA194" s="1"/>
      <c r="BB194" s="1"/>
      <c r="BC194" s="1"/>
      <c r="BD194" s="1"/>
      <c r="BE194" s="1"/>
      <c r="BF194" s="1"/>
      <c r="BG194" s="1"/>
    </row>
    <row r="195" spans="1:67" s="170" customFormat="1" ht="14.25">
      <c r="A195" s="30"/>
      <c r="B195" s="30"/>
      <c r="C195" s="30" t="s">
        <v>163</v>
      </c>
      <c r="D195" s="30"/>
      <c r="E195" s="410"/>
      <c r="F195" s="30"/>
      <c r="G195" s="30"/>
      <c r="H195" s="30"/>
      <c r="I195" s="30"/>
      <c r="J195" s="30"/>
      <c r="K195" s="30"/>
      <c r="L195" s="30"/>
      <c r="M195" s="30"/>
      <c r="N195" s="30"/>
      <c r="O195" s="30"/>
      <c r="P195" s="30"/>
      <c r="Q195" s="30"/>
      <c r="R195" s="30"/>
      <c r="S195" s="30"/>
      <c r="T195" s="44">
        <f t="shared" si="46"/>
        <v>44</v>
      </c>
      <c r="U195" s="30"/>
      <c r="V195" s="411"/>
      <c r="W195" s="411"/>
      <c r="X195" s="411"/>
      <c r="Y195" s="411"/>
      <c r="Z195" s="411"/>
      <c r="AA195" s="411"/>
      <c r="AB195" s="411"/>
      <c r="AC195" s="411"/>
      <c r="AD195" s="411"/>
      <c r="AE195" s="411"/>
      <c r="AF195" s="411"/>
      <c r="AG195" s="411"/>
      <c r="AH195" s="411"/>
      <c r="AI195" s="411"/>
      <c r="AJ195" s="411"/>
      <c r="AL195" s="1"/>
      <c r="AM195" s="1"/>
      <c r="AN195" s="1"/>
      <c r="AO195" s="1"/>
      <c r="AP195" s="1"/>
      <c r="AQ195" s="1"/>
      <c r="AR195" s="1"/>
      <c r="AS195" s="1"/>
      <c r="AT195" s="1"/>
      <c r="AU195" s="1"/>
      <c r="AV195" s="1"/>
      <c r="AW195" s="1"/>
      <c r="AX195" s="1"/>
      <c r="AY195" s="1"/>
      <c r="AZ195" s="1"/>
      <c r="BA195" s="1"/>
      <c r="BB195" s="1"/>
      <c r="BC195" s="1"/>
      <c r="BD195" s="1"/>
      <c r="BE195" s="1"/>
      <c r="BF195" s="1"/>
      <c r="BH195" s="411"/>
      <c r="BI195" s="411"/>
      <c r="BJ195" s="411"/>
      <c r="BK195" s="411"/>
      <c r="BL195" s="411"/>
      <c r="BM195" s="411"/>
      <c r="BN195" s="411"/>
      <c r="BO195" s="411"/>
    </row>
    <row r="196" spans="1:67" s="170" customFormat="1" ht="14.25">
      <c r="A196" s="30"/>
      <c r="B196" s="30"/>
      <c r="C196" s="759" t="s">
        <v>164</v>
      </c>
      <c r="D196" s="759"/>
      <c r="E196" s="759"/>
      <c r="F196" s="759"/>
      <c r="G196" s="546" t="s">
        <v>691</v>
      </c>
      <c r="H196" s="546"/>
      <c r="I196" s="546"/>
      <c r="J196" s="546"/>
      <c r="K196" s="546"/>
      <c r="L196" s="546"/>
      <c r="M196" s="546" t="s">
        <v>687</v>
      </c>
      <c r="N196" s="546"/>
      <c r="O196" s="546"/>
      <c r="P196" s="546"/>
      <c r="Q196" s="546"/>
      <c r="R196" s="546"/>
      <c r="S196" s="38"/>
      <c r="T196" s="44">
        <f t="shared" si="46"/>
        <v>45</v>
      </c>
      <c r="U196" s="44"/>
      <c r="AK196" s="411"/>
      <c r="BG196" s="411"/>
    </row>
    <row r="197" spans="1:67" s="170" customFormat="1" ht="14.25">
      <c r="A197" s="30"/>
      <c r="B197" s="30"/>
      <c r="C197" s="759" t="s">
        <v>165</v>
      </c>
      <c r="D197" s="759"/>
      <c r="E197" s="759"/>
      <c r="F197" s="759"/>
      <c r="G197" s="546" t="s">
        <v>531</v>
      </c>
      <c r="H197" s="546"/>
      <c r="I197" s="546"/>
      <c r="J197" s="546"/>
      <c r="K197" s="546"/>
      <c r="L197" s="546"/>
      <c r="M197" s="546" t="s">
        <v>531</v>
      </c>
      <c r="N197" s="546"/>
      <c r="O197" s="546"/>
      <c r="P197" s="546"/>
      <c r="Q197" s="546"/>
      <c r="R197" s="546"/>
      <c r="S197" s="30"/>
      <c r="T197" s="44">
        <f t="shared" ref="T197:T211" si="47">T196+1</f>
        <v>46</v>
      </c>
      <c r="U197" s="30"/>
      <c r="V197" s="411"/>
      <c r="W197" s="411"/>
      <c r="X197" s="411"/>
      <c r="Y197" s="411"/>
      <c r="Z197" s="411"/>
      <c r="AA197" s="411"/>
      <c r="AB197" s="411"/>
      <c r="AC197" s="411"/>
      <c r="AD197" s="411"/>
      <c r="AE197" s="411"/>
      <c r="AF197" s="411"/>
      <c r="AG197" s="411"/>
      <c r="AH197" s="411"/>
      <c r="AI197" s="411"/>
      <c r="AJ197" s="411"/>
      <c r="AL197" s="411"/>
      <c r="AM197" s="411"/>
      <c r="AN197" s="411"/>
      <c r="AO197" s="411"/>
      <c r="AP197" s="411"/>
      <c r="AQ197" s="411"/>
      <c r="AR197" s="411"/>
      <c r="AS197" s="411"/>
      <c r="AT197" s="411"/>
      <c r="AU197" s="411"/>
      <c r="AV197" s="411"/>
      <c r="AW197" s="411"/>
      <c r="AX197" s="411"/>
      <c r="AY197" s="411"/>
      <c r="AZ197" s="411"/>
      <c r="BA197" s="411"/>
      <c r="BB197" s="411"/>
      <c r="BC197" s="411"/>
      <c r="BD197" s="411"/>
      <c r="BE197" s="411"/>
      <c r="BF197" s="411"/>
      <c r="BH197" s="411"/>
      <c r="BI197" s="411"/>
      <c r="BJ197" s="411"/>
      <c r="BK197" s="411"/>
      <c r="BL197" s="411"/>
      <c r="BM197" s="411"/>
      <c r="BN197" s="411"/>
      <c r="BO197" s="411"/>
    </row>
    <row r="198" spans="1:67" s="170" customFormat="1" ht="14.25">
      <c r="A198" s="30"/>
      <c r="B198" s="30"/>
      <c r="C198" s="527" t="s">
        <v>515</v>
      </c>
      <c r="D198" s="528"/>
      <c r="E198" s="528"/>
      <c r="F198" s="529"/>
      <c r="G198" s="312"/>
      <c r="H198" s="313"/>
      <c r="I198" s="313"/>
      <c r="J198" s="327"/>
      <c r="K198" s="327"/>
      <c r="L198" s="314"/>
      <c r="M198" s="404"/>
      <c r="N198" s="404"/>
      <c r="O198" s="313"/>
      <c r="P198" s="313"/>
      <c r="Q198" s="313"/>
      <c r="R198" s="314"/>
      <c r="S198" s="38"/>
      <c r="T198" s="44">
        <f t="shared" si="47"/>
        <v>47</v>
      </c>
      <c r="U198" s="44"/>
      <c r="AK198" s="411"/>
      <c r="BG198" s="411"/>
    </row>
    <row r="199" spans="1:67" s="170" customFormat="1" ht="14.25">
      <c r="A199" s="30"/>
      <c r="B199" s="30"/>
      <c r="C199" s="881"/>
      <c r="D199" s="906"/>
      <c r="E199" s="906"/>
      <c r="F199" s="907"/>
      <c r="G199" s="312"/>
      <c r="H199" s="313"/>
      <c r="I199" s="313"/>
      <c r="J199" s="327"/>
      <c r="K199" s="327"/>
      <c r="L199" s="314"/>
      <c r="M199" s="404"/>
      <c r="N199" s="404"/>
      <c r="O199" s="313"/>
      <c r="P199" s="313"/>
      <c r="Q199" s="313"/>
      <c r="R199" s="314"/>
      <c r="S199" s="30"/>
      <c r="T199" s="44">
        <f t="shared" si="47"/>
        <v>48</v>
      </c>
      <c r="U199" s="30"/>
      <c r="V199" s="411"/>
      <c r="W199" s="411"/>
      <c r="X199" s="411"/>
      <c r="Y199" s="411"/>
      <c r="Z199" s="411"/>
      <c r="AA199" s="411"/>
      <c r="AB199" s="411"/>
      <c r="AC199" s="411"/>
      <c r="AD199" s="411"/>
      <c r="AE199" s="411"/>
      <c r="AF199" s="411"/>
      <c r="AG199" s="411"/>
      <c r="AH199" s="411"/>
      <c r="AI199" s="411"/>
      <c r="AJ199" s="411"/>
      <c r="AL199" s="411"/>
      <c r="AM199" s="411"/>
      <c r="AN199" s="411"/>
      <c r="AO199" s="411"/>
      <c r="AP199" s="411"/>
      <c r="AQ199" s="411"/>
      <c r="AR199" s="411"/>
      <c r="AS199" s="411"/>
      <c r="AT199" s="411"/>
      <c r="AU199" s="411"/>
      <c r="AV199" s="411"/>
      <c r="AW199" s="411"/>
      <c r="AX199" s="411"/>
      <c r="AY199" s="411"/>
      <c r="AZ199" s="411"/>
      <c r="BA199" s="411"/>
      <c r="BB199" s="411"/>
      <c r="BC199" s="411"/>
      <c r="BD199" s="411"/>
      <c r="BE199" s="411"/>
      <c r="BF199" s="411"/>
      <c r="BH199" s="411"/>
      <c r="BI199" s="411"/>
      <c r="BJ199" s="411"/>
      <c r="BK199" s="411"/>
      <c r="BL199" s="411"/>
      <c r="BM199" s="411"/>
      <c r="BN199" s="411"/>
      <c r="BO199" s="411"/>
    </row>
    <row r="200" spans="1:67" s="170" customFormat="1" ht="14.25">
      <c r="A200" s="30"/>
      <c r="B200" s="30"/>
      <c r="C200" s="881"/>
      <c r="D200" s="906"/>
      <c r="E200" s="906"/>
      <c r="F200" s="907"/>
      <c r="G200" s="312"/>
      <c r="H200" s="313"/>
      <c r="I200" s="313"/>
      <c r="J200" s="327"/>
      <c r="K200" s="327"/>
      <c r="L200" s="314"/>
      <c r="M200" s="404"/>
      <c r="N200" s="404"/>
      <c r="O200" s="313"/>
      <c r="P200" s="313"/>
      <c r="Q200" s="313"/>
      <c r="R200" s="314"/>
      <c r="S200" s="38"/>
      <c r="T200" s="44">
        <f t="shared" si="47"/>
        <v>49</v>
      </c>
      <c r="U200" s="44"/>
      <c r="AK200" s="411"/>
      <c r="BG200" s="411"/>
    </row>
    <row r="201" spans="1:67" s="170" customFormat="1" ht="14.25">
      <c r="A201" s="30"/>
      <c r="B201" s="30"/>
      <c r="C201" s="530"/>
      <c r="D201" s="531"/>
      <c r="E201" s="531"/>
      <c r="F201" s="532"/>
      <c r="G201" s="312"/>
      <c r="H201" s="313"/>
      <c r="I201" s="313"/>
      <c r="J201" s="327"/>
      <c r="K201" s="327"/>
      <c r="L201" s="314"/>
      <c r="M201" s="404"/>
      <c r="N201" s="404"/>
      <c r="O201" s="313"/>
      <c r="P201" s="313"/>
      <c r="Q201" s="313"/>
      <c r="R201" s="314"/>
      <c r="S201" s="30"/>
      <c r="T201" s="44">
        <f t="shared" si="47"/>
        <v>50</v>
      </c>
      <c r="U201" s="30"/>
      <c r="V201" s="411"/>
      <c r="W201" s="411"/>
      <c r="X201" s="411"/>
      <c r="Y201" s="411"/>
      <c r="Z201" s="411"/>
      <c r="AA201" s="411"/>
      <c r="AB201" s="411"/>
      <c r="AC201" s="411"/>
      <c r="AD201" s="411"/>
      <c r="AE201" s="411"/>
      <c r="AF201" s="411"/>
      <c r="AG201" s="411"/>
      <c r="AH201" s="411"/>
      <c r="AI201" s="411"/>
      <c r="AJ201" s="411"/>
      <c r="AL201" s="411"/>
      <c r="AM201" s="411"/>
      <c r="AN201" s="411"/>
      <c r="AO201" s="411"/>
      <c r="AP201" s="411"/>
      <c r="AQ201" s="411"/>
      <c r="AR201" s="411"/>
      <c r="AS201" s="411"/>
      <c r="AT201" s="411"/>
      <c r="AU201" s="411"/>
      <c r="AV201" s="411"/>
      <c r="AW201" s="411"/>
      <c r="AX201" s="411"/>
      <c r="AY201" s="411"/>
      <c r="AZ201" s="411"/>
      <c r="BA201" s="411"/>
      <c r="BB201" s="411"/>
      <c r="BC201" s="411"/>
      <c r="BD201" s="411"/>
      <c r="BE201" s="411"/>
      <c r="BF201" s="411"/>
      <c r="BH201" s="411"/>
      <c r="BI201" s="411"/>
      <c r="BJ201" s="411"/>
      <c r="BK201" s="411"/>
      <c r="BL201" s="411"/>
      <c r="BM201" s="411"/>
      <c r="BN201" s="411"/>
      <c r="BO201" s="411"/>
    </row>
    <row r="202" spans="1:67" s="170" customFormat="1" ht="14.25">
      <c r="A202" s="30"/>
      <c r="B202" s="30"/>
      <c r="C202" s="947" t="s">
        <v>166</v>
      </c>
      <c r="D202" s="947"/>
      <c r="E202" s="901" t="s">
        <v>167</v>
      </c>
      <c r="F202" s="901"/>
      <c r="G202" s="888" t="s">
        <v>696</v>
      </c>
      <c r="H202" s="889"/>
      <c r="I202" s="889"/>
      <c r="J202" s="889"/>
      <c r="K202" s="889"/>
      <c r="L202" s="889"/>
      <c r="M202" s="889"/>
      <c r="N202" s="889"/>
      <c r="O202" s="889"/>
      <c r="P202" s="889"/>
      <c r="Q202" s="889"/>
      <c r="R202" s="890"/>
      <c r="S202" s="38"/>
      <c r="T202" s="44">
        <f t="shared" si="47"/>
        <v>51</v>
      </c>
      <c r="U202" s="44"/>
      <c r="AK202" s="411"/>
      <c r="BG202" s="411"/>
    </row>
    <row r="203" spans="1:67" s="170" customFormat="1" ht="13.5" customHeight="1">
      <c r="A203" s="30"/>
      <c r="B203" s="30"/>
      <c r="C203" s="948"/>
      <c r="D203" s="948"/>
      <c r="E203" s="902" t="s">
        <v>168</v>
      </c>
      <c r="F203" s="902"/>
      <c r="G203" s="546" t="s">
        <v>697</v>
      </c>
      <c r="H203" s="546"/>
      <c r="I203" s="546"/>
      <c r="J203" s="546"/>
      <c r="K203" s="546"/>
      <c r="L203" s="546"/>
      <c r="M203" s="934" t="s">
        <v>698</v>
      </c>
      <c r="N203" s="934"/>
      <c r="O203" s="934"/>
      <c r="P203" s="934"/>
      <c r="Q203" s="934"/>
      <c r="R203" s="934"/>
      <c r="S203" s="30"/>
      <c r="T203" s="44">
        <f t="shared" si="47"/>
        <v>52</v>
      </c>
      <c r="U203" s="30"/>
      <c r="V203" s="411"/>
      <c r="W203" s="411"/>
      <c r="X203" s="411"/>
      <c r="Y203" s="411"/>
      <c r="Z203" s="411"/>
      <c r="AA203" s="411"/>
      <c r="AB203" s="411"/>
      <c r="AC203" s="411"/>
      <c r="AD203" s="411"/>
      <c r="AE203" s="411"/>
      <c r="AF203" s="411"/>
      <c r="AG203" s="411"/>
      <c r="AH203" s="411"/>
      <c r="AI203" s="411"/>
      <c r="AJ203" s="411"/>
      <c r="AL203" s="411"/>
      <c r="AM203" s="411"/>
      <c r="AN203" s="411"/>
      <c r="AO203" s="411"/>
      <c r="AP203" s="411"/>
      <c r="AQ203" s="411"/>
      <c r="AR203" s="411"/>
      <c r="AS203" s="411"/>
      <c r="AT203" s="411"/>
      <c r="AU203" s="411"/>
      <c r="AV203" s="411"/>
      <c r="AW203" s="411"/>
      <c r="AX203" s="411"/>
      <c r="AY203" s="411"/>
      <c r="AZ203" s="411"/>
      <c r="BA203" s="411"/>
      <c r="BB203" s="411"/>
      <c r="BC203" s="411"/>
      <c r="BD203" s="411"/>
      <c r="BE203" s="411"/>
      <c r="BF203" s="411"/>
      <c r="BH203" s="411"/>
      <c r="BI203" s="411"/>
      <c r="BJ203" s="411"/>
      <c r="BK203" s="411"/>
      <c r="BL203" s="411"/>
      <c r="BM203" s="411"/>
      <c r="BN203" s="411"/>
      <c r="BO203" s="411"/>
    </row>
    <row r="204" spans="1:67" s="170" customFormat="1" ht="14.25">
      <c r="A204" s="30"/>
      <c r="B204" s="30"/>
      <c r="C204" s="759" t="s">
        <v>169</v>
      </c>
      <c r="D204" s="759"/>
      <c r="E204" s="759"/>
      <c r="F204" s="759"/>
      <c r="G204" s="546" t="s">
        <v>519</v>
      </c>
      <c r="H204" s="546"/>
      <c r="I204" s="546"/>
      <c r="J204" s="546"/>
      <c r="K204" s="546"/>
      <c r="L204" s="546"/>
      <c r="M204" s="546" t="s">
        <v>699</v>
      </c>
      <c r="N204" s="546"/>
      <c r="O204" s="546"/>
      <c r="P204" s="546"/>
      <c r="Q204" s="546"/>
      <c r="R204" s="546"/>
      <c r="S204" s="38"/>
      <c r="T204" s="44">
        <f t="shared" si="47"/>
        <v>53</v>
      </c>
      <c r="U204" s="44"/>
      <c r="AK204" s="411"/>
      <c r="BG204" s="411"/>
    </row>
    <row r="205" spans="1:67" s="170" customFormat="1" ht="14.25">
      <c r="A205" s="30"/>
      <c r="B205" s="30"/>
      <c r="C205" s="759"/>
      <c r="D205" s="759"/>
      <c r="E205" s="759"/>
      <c r="F205" s="759"/>
      <c r="G205" s="546" t="s">
        <v>700</v>
      </c>
      <c r="H205" s="546"/>
      <c r="I205" s="546"/>
      <c r="J205" s="546"/>
      <c r="K205" s="546"/>
      <c r="L205" s="546"/>
      <c r="M205" s="546"/>
      <c r="N205" s="546"/>
      <c r="O205" s="546"/>
      <c r="P205" s="546"/>
      <c r="Q205" s="546"/>
      <c r="R205" s="546"/>
      <c r="S205" s="30"/>
      <c r="T205" s="44">
        <f t="shared" si="47"/>
        <v>54</v>
      </c>
      <c r="U205" s="30"/>
      <c r="V205" s="411"/>
      <c r="W205" s="411"/>
      <c r="X205" s="411"/>
      <c r="Y205" s="411"/>
      <c r="Z205" s="411"/>
      <c r="AA205" s="411"/>
      <c r="AB205" s="411"/>
      <c r="AC205" s="411"/>
      <c r="AD205" s="411"/>
      <c r="AE205" s="411"/>
      <c r="AF205" s="411"/>
      <c r="AG205" s="411"/>
      <c r="AH205" s="411"/>
      <c r="AI205" s="411"/>
      <c r="AJ205" s="411"/>
      <c r="AL205" s="411"/>
      <c r="AM205" s="411"/>
      <c r="AN205" s="411"/>
      <c r="AO205" s="411"/>
      <c r="AP205" s="411"/>
      <c r="AQ205" s="411"/>
      <c r="AR205" s="411"/>
      <c r="AS205" s="411"/>
      <c r="AT205" s="411"/>
      <c r="AU205" s="411"/>
      <c r="AV205" s="411"/>
      <c r="AW205" s="411"/>
      <c r="AX205" s="411"/>
      <c r="AY205" s="411"/>
      <c r="AZ205" s="411"/>
      <c r="BA205" s="411"/>
      <c r="BB205" s="411"/>
      <c r="BC205" s="411"/>
      <c r="BD205" s="411"/>
      <c r="BE205" s="411"/>
      <c r="BF205" s="411"/>
      <c r="BH205" s="411"/>
      <c r="BI205" s="411"/>
      <c r="BJ205" s="411"/>
      <c r="BK205" s="411"/>
      <c r="BL205" s="411"/>
      <c r="BM205" s="411"/>
      <c r="BN205" s="411"/>
      <c r="BO205" s="411"/>
    </row>
    <row r="206" spans="1:67" s="170" customFormat="1" ht="14.25">
      <c r="A206" s="30"/>
      <c r="B206" s="30"/>
      <c r="C206" s="891" t="s">
        <v>170</v>
      </c>
      <c r="D206" s="891"/>
      <c r="E206" s="759" t="s">
        <v>171</v>
      </c>
      <c r="F206" s="759"/>
      <c r="G206" s="546">
        <v>3.093</v>
      </c>
      <c r="H206" s="546"/>
      <c r="I206" s="546"/>
      <c r="J206" s="546"/>
      <c r="K206" s="546"/>
      <c r="L206" s="546"/>
      <c r="M206" s="546" t="s">
        <v>701</v>
      </c>
      <c r="N206" s="546"/>
      <c r="O206" s="546"/>
      <c r="P206" s="546"/>
      <c r="Q206" s="546"/>
      <c r="R206" s="546"/>
      <c r="S206" s="38"/>
      <c r="T206" s="44">
        <f t="shared" si="47"/>
        <v>55</v>
      </c>
      <c r="U206" s="44"/>
      <c r="AK206" s="411"/>
      <c r="BG206" s="411"/>
    </row>
    <row r="207" spans="1:67" s="170" customFormat="1" ht="13.5" customHeight="1">
      <c r="A207" s="30"/>
      <c r="B207" s="30"/>
      <c r="C207" s="759"/>
      <c r="D207" s="759"/>
      <c r="E207" s="881" t="s">
        <v>172</v>
      </c>
      <c r="F207" s="882"/>
      <c r="G207" s="934" t="s">
        <v>702</v>
      </c>
      <c r="H207" s="934"/>
      <c r="I207" s="934"/>
      <c r="J207" s="934"/>
      <c r="K207" s="934"/>
      <c r="L207" s="934"/>
      <c r="M207" s="546" t="s">
        <v>703</v>
      </c>
      <c r="N207" s="546"/>
      <c r="O207" s="546"/>
      <c r="P207" s="546"/>
      <c r="Q207" s="546"/>
      <c r="R207" s="546"/>
      <c r="S207" s="30"/>
      <c r="T207" s="44">
        <f t="shared" si="47"/>
        <v>56</v>
      </c>
      <c r="U207" s="30"/>
      <c r="V207" s="411"/>
      <c r="W207" s="411"/>
      <c r="X207" s="411"/>
      <c r="Y207" s="411"/>
      <c r="Z207" s="411"/>
      <c r="AA207" s="411"/>
      <c r="AB207" s="411"/>
      <c r="AC207" s="411"/>
      <c r="AD207" s="411"/>
      <c r="AE207" s="411"/>
      <c r="AF207" s="411"/>
      <c r="AG207" s="411"/>
      <c r="AH207" s="411"/>
      <c r="AI207" s="411"/>
      <c r="AJ207" s="411"/>
      <c r="AL207" s="411"/>
      <c r="AM207" s="411"/>
      <c r="AN207" s="411"/>
      <c r="AO207" s="411"/>
      <c r="AP207" s="411"/>
      <c r="AQ207" s="411"/>
      <c r="AR207" s="411"/>
      <c r="AS207" s="411"/>
      <c r="AT207" s="411"/>
      <c r="AU207" s="411"/>
      <c r="AV207" s="411"/>
      <c r="AW207" s="411"/>
      <c r="AX207" s="411"/>
      <c r="AY207" s="411"/>
      <c r="AZ207" s="411"/>
      <c r="BA207" s="411"/>
      <c r="BB207" s="411"/>
      <c r="BC207" s="411"/>
      <c r="BD207" s="411"/>
      <c r="BE207" s="411"/>
      <c r="BF207" s="411"/>
      <c r="BH207" s="411"/>
      <c r="BI207" s="411"/>
      <c r="BJ207" s="411"/>
      <c r="BK207" s="411"/>
      <c r="BL207" s="411"/>
      <c r="BM207" s="411"/>
      <c r="BN207" s="411"/>
      <c r="BO207" s="411"/>
    </row>
    <row r="208" spans="1:67" s="170" customFormat="1" ht="14.25" customHeight="1">
      <c r="A208" s="30"/>
      <c r="B208" s="30"/>
      <c r="C208" s="892"/>
      <c r="D208" s="892"/>
      <c r="E208" s="892" t="s">
        <v>173</v>
      </c>
      <c r="F208" s="892"/>
      <c r="G208" s="934" t="s">
        <v>215</v>
      </c>
      <c r="H208" s="934"/>
      <c r="I208" s="934"/>
      <c r="J208" s="934"/>
      <c r="K208" s="934"/>
      <c r="L208" s="934"/>
      <c r="M208" s="934" t="s">
        <v>704</v>
      </c>
      <c r="N208" s="934"/>
      <c r="O208" s="934"/>
      <c r="P208" s="934"/>
      <c r="Q208" s="934"/>
      <c r="R208" s="934"/>
      <c r="S208" s="38"/>
      <c r="T208" s="44">
        <f t="shared" si="47"/>
        <v>57</v>
      </c>
      <c r="U208" s="44"/>
      <c r="AK208" s="411"/>
      <c r="BG208" s="411"/>
    </row>
    <row r="209" spans="1:67" s="170" customFormat="1" ht="14.25">
      <c r="A209" s="30"/>
      <c r="B209" s="30"/>
      <c r="C209" s="759" t="s">
        <v>27</v>
      </c>
      <c r="D209" s="759"/>
      <c r="E209" s="759"/>
      <c r="F209" s="759"/>
      <c r="G209" s="546" t="s">
        <v>705</v>
      </c>
      <c r="H209" s="546"/>
      <c r="I209" s="546"/>
      <c r="J209" s="546"/>
      <c r="K209" s="546"/>
      <c r="L209" s="546"/>
      <c r="M209" s="546" t="s">
        <v>706</v>
      </c>
      <c r="N209" s="546"/>
      <c r="O209" s="546"/>
      <c r="P209" s="546"/>
      <c r="Q209" s="546"/>
      <c r="R209" s="546"/>
      <c r="S209" s="30"/>
      <c r="T209" s="44">
        <f t="shared" si="47"/>
        <v>58</v>
      </c>
      <c r="U209" s="30"/>
      <c r="V209" s="411"/>
      <c r="W209" s="411"/>
      <c r="X209" s="411"/>
      <c r="Y209" s="411"/>
      <c r="Z209" s="411"/>
      <c r="AA209" s="411"/>
      <c r="AB209" s="411"/>
      <c r="AC209" s="411"/>
      <c r="AD209" s="411"/>
      <c r="AE209" s="411"/>
      <c r="AF209" s="411"/>
      <c r="AG209" s="411"/>
      <c r="AH209" s="411"/>
      <c r="AI209" s="411"/>
      <c r="AJ209" s="411"/>
      <c r="AL209" s="411"/>
      <c r="AM209" s="411"/>
      <c r="AN209" s="411"/>
      <c r="AO209" s="411"/>
      <c r="AP209" s="411"/>
      <c r="AQ209" s="411"/>
      <c r="AR209" s="411"/>
      <c r="AS209" s="411"/>
      <c r="AT209" s="411"/>
      <c r="AU209" s="411"/>
      <c r="AV209" s="411"/>
      <c r="AW209" s="411"/>
      <c r="AX209" s="411"/>
      <c r="AY209" s="411"/>
      <c r="AZ209" s="411"/>
      <c r="BA209" s="411"/>
      <c r="BB209" s="411"/>
      <c r="BC209" s="411"/>
      <c r="BD209" s="411"/>
      <c r="BE209" s="411"/>
      <c r="BF209" s="411"/>
      <c r="BH209" s="411"/>
      <c r="BI209" s="411"/>
      <c r="BJ209" s="411"/>
      <c r="BK209" s="411"/>
      <c r="BL209" s="411"/>
      <c r="BM209" s="411"/>
      <c r="BN209" s="411"/>
      <c r="BO209" s="411"/>
    </row>
    <row r="210" spans="1:67" s="170" customFormat="1" ht="14.25">
      <c r="A210" s="30"/>
      <c r="B210" s="30"/>
      <c r="C210" s="30"/>
      <c r="D210" s="30"/>
      <c r="E210" s="30"/>
      <c r="F210" s="38"/>
      <c r="G210" s="38"/>
      <c r="H210" s="38"/>
      <c r="I210" s="38"/>
      <c r="J210" s="38"/>
      <c r="K210" s="38"/>
      <c r="L210" s="38"/>
      <c r="M210" s="38"/>
      <c r="N210" s="38"/>
      <c r="O210" s="38"/>
      <c r="P210" s="38"/>
      <c r="Q210" s="38"/>
      <c r="R210" s="38"/>
      <c r="S210" s="38"/>
      <c r="T210" s="44">
        <v>1</v>
      </c>
      <c r="U210" s="44"/>
      <c r="AK210" s="411"/>
      <c r="BG210" s="411"/>
    </row>
    <row r="211" spans="1:67" ht="14.25">
      <c r="A211" s="30"/>
      <c r="B211" s="30" t="s">
        <v>174</v>
      </c>
      <c r="C211" s="30"/>
      <c r="D211" s="30"/>
      <c r="E211" s="30"/>
      <c r="F211" s="38"/>
      <c r="G211" s="38"/>
      <c r="H211" s="38"/>
      <c r="I211" s="38"/>
      <c r="J211" s="38"/>
      <c r="K211" s="38"/>
      <c r="L211" s="38"/>
      <c r="M211" s="38"/>
      <c r="N211" s="38"/>
      <c r="O211" s="38"/>
      <c r="P211" s="38"/>
      <c r="Q211" s="38"/>
      <c r="R211" s="38"/>
      <c r="S211" s="38"/>
      <c r="T211" s="44">
        <f t="shared" si="47"/>
        <v>2</v>
      </c>
      <c r="U211" s="44"/>
      <c r="AK211" s="170"/>
      <c r="AL211" s="411"/>
      <c r="AM211" s="411"/>
      <c r="AN211" s="411"/>
      <c r="AO211" s="411"/>
      <c r="AP211" s="411"/>
      <c r="AQ211" s="411"/>
      <c r="AR211" s="411"/>
      <c r="AS211" s="411"/>
      <c r="AT211" s="411"/>
      <c r="AU211" s="411"/>
      <c r="AV211" s="411"/>
      <c r="AW211" s="411"/>
      <c r="AX211" s="411"/>
      <c r="AY211" s="411"/>
      <c r="AZ211" s="411"/>
      <c r="BA211" s="411"/>
      <c r="BB211" s="411"/>
      <c r="BC211" s="411"/>
      <c r="BD211" s="411"/>
      <c r="BE211" s="411"/>
      <c r="BF211" s="411"/>
      <c r="BG211" s="170"/>
    </row>
    <row r="212" spans="1:67" ht="16.5">
      <c r="A212" s="30"/>
      <c r="B212" s="30"/>
      <c r="C212" s="30" t="s">
        <v>99</v>
      </c>
      <c r="D212" s="203" t="s">
        <v>75</v>
      </c>
      <c r="E212" s="459" t="s">
        <v>175</v>
      </c>
      <c r="F212" s="459"/>
      <c r="G212" s="202" t="s">
        <v>116</v>
      </c>
      <c r="H212" s="38" t="s">
        <v>176</v>
      </c>
      <c r="I212" s="38"/>
      <c r="J212" s="38"/>
      <c r="K212" s="44"/>
      <c r="L212" s="44"/>
      <c r="M212" s="38"/>
      <c r="N212" s="38"/>
      <c r="O212" s="38"/>
      <c r="P212" s="38"/>
      <c r="Q212" s="38"/>
      <c r="R212" s="38"/>
      <c r="S212" s="38"/>
      <c r="T212" s="44">
        <f t="shared" si="46"/>
        <v>3</v>
      </c>
      <c r="U212" s="44"/>
      <c r="AL212" s="170"/>
      <c r="AM212" s="170"/>
      <c r="AN212" s="170"/>
      <c r="AO212" s="170"/>
      <c r="AP212" s="170"/>
      <c r="AQ212" s="170"/>
      <c r="AR212" s="170"/>
      <c r="AS212" s="170"/>
      <c r="AT212" s="170"/>
      <c r="AU212" s="170"/>
      <c r="AV212" s="170"/>
      <c r="AW212" s="170"/>
      <c r="AX212" s="170"/>
      <c r="AY212" s="170"/>
      <c r="AZ212" s="170"/>
      <c r="BA212" s="170"/>
      <c r="BB212" s="170"/>
      <c r="BC212" s="170"/>
      <c r="BD212" s="170"/>
      <c r="BE212" s="170"/>
      <c r="BF212" s="170"/>
    </row>
    <row r="213" spans="1:67" ht="14.25">
      <c r="A213" s="30"/>
      <c r="B213" s="30"/>
      <c r="C213" s="30"/>
      <c r="D213" s="203" t="s">
        <v>75</v>
      </c>
      <c r="E213" s="459">
        <f>Q155*P162+O156*P163+Q157*P164</f>
        <v>0</v>
      </c>
      <c r="F213" s="459"/>
      <c r="G213" s="202" t="s">
        <v>177</v>
      </c>
      <c r="H213" s="38">
        <v>10</v>
      </c>
      <c r="I213" s="202" t="s">
        <v>130</v>
      </c>
      <c r="J213" s="469">
        <f>N130</f>
        <v>0</v>
      </c>
      <c r="K213" s="830"/>
      <c r="L213" s="202" t="s">
        <v>130</v>
      </c>
      <c r="M213" s="536">
        <f>$G$15/10000</f>
        <v>0</v>
      </c>
      <c r="N213" s="536"/>
      <c r="O213" s="203" t="s">
        <v>178</v>
      </c>
      <c r="P213" s="536" t="e">
        <f>ROUNDDOWN(E213/(H213*J213*M213),2)</f>
        <v>#DIV/0!</v>
      </c>
      <c r="Q213" s="536"/>
      <c r="R213" s="38" t="s">
        <v>59</v>
      </c>
      <c r="S213" s="38"/>
      <c r="T213" s="44">
        <f t="shared" si="46"/>
        <v>4</v>
      </c>
      <c r="U213" s="44"/>
    </row>
    <row r="214" spans="1:67" ht="14.25">
      <c r="A214" s="30"/>
      <c r="B214" s="30"/>
      <c r="C214" s="30"/>
      <c r="D214" s="30"/>
      <c r="E214" s="30"/>
      <c r="F214" s="38"/>
      <c r="G214" s="38"/>
      <c r="H214" s="38"/>
      <c r="I214" s="38"/>
      <c r="J214" s="38"/>
      <c r="K214" s="38"/>
      <c r="L214" s="38"/>
      <c r="M214" s="38"/>
      <c r="N214" s="38"/>
      <c r="O214" s="38"/>
      <c r="P214" s="38"/>
      <c r="Q214" s="38"/>
      <c r="R214" s="38"/>
      <c r="S214" s="38"/>
      <c r="T214" s="44">
        <f t="shared" si="46"/>
        <v>5</v>
      </c>
      <c r="U214" s="44"/>
    </row>
    <row r="215" spans="1:67" ht="14.25">
      <c r="A215" s="134" t="s">
        <v>179</v>
      </c>
      <c r="B215" s="30"/>
      <c r="C215" s="30"/>
      <c r="D215" s="30"/>
      <c r="E215" s="30"/>
      <c r="F215" s="30"/>
      <c r="G215" s="30"/>
      <c r="H215" s="30"/>
      <c r="I215" s="30"/>
      <c r="J215" s="30"/>
      <c r="K215" s="30"/>
      <c r="L215" s="30"/>
      <c r="M215" s="30"/>
      <c r="N215" s="30"/>
      <c r="O215" s="30"/>
      <c r="P215" s="30"/>
      <c r="Q215" s="30"/>
      <c r="R215" s="30"/>
      <c r="S215" s="30"/>
      <c r="T215" s="44">
        <f t="shared" si="46"/>
        <v>6</v>
      </c>
      <c r="U215" s="44"/>
    </row>
    <row r="216" spans="1:67" ht="14.25">
      <c r="A216" s="30"/>
      <c r="B216" s="38" t="s">
        <v>477</v>
      </c>
      <c r="C216" s="38"/>
      <c r="D216" s="38"/>
      <c r="E216" s="38"/>
      <c r="F216" s="30"/>
      <c r="G216" s="30"/>
      <c r="H216" s="30"/>
      <c r="I216" s="30"/>
      <c r="J216" s="30"/>
      <c r="K216" s="30"/>
      <c r="L216" s="30"/>
      <c r="M216" s="30"/>
      <c r="N216" s="30"/>
      <c r="O216" s="30"/>
      <c r="P216" s="30"/>
      <c r="Q216" s="30"/>
      <c r="R216" s="30"/>
      <c r="S216" s="30"/>
      <c r="T216" s="44">
        <f t="shared" si="46"/>
        <v>7</v>
      </c>
      <c r="U216" s="44"/>
    </row>
    <row r="217" spans="1:67" ht="14.25">
      <c r="A217" s="30"/>
      <c r="B217" s="30"/>
      <c r="C217" s="30"/>
      <c r="D217" s="30"/>
      <c r="E217" s="30"/>
      <c r="F217" s="30"/>
      <c r="G217" s="30"/>
      <c r="H217" s="30"/>
      <c r="I217" s="30"/>
      <c r="J217" s="30"/>
      <c r="K217" s="30"/>
      <c r="L217" s="30"/>
      <c r="M217" s="30"/>
      <c r="N217" s="30"/>
      <c r="O217" s="30"/>
      <c r="P217" s="30"/>
      <c r="Q217" s="30"/>
      <c r="R217" s="30"/>
      <c r="S217" s="30"/>
      <c r="T217" s="44">
        <f t="shared" si="46"/>
        <v>8</v>
      </c>
      <c r="U217" s="44"/>
    </row>
    <row r="218" spans="1:67" ht="14.25">
      <c r="A218" s="30"/>
      <c r="B218" s="44"/>
      <c r="C218" s="360"/>
      <c r="D218" s="360"/>
      <c r="E218" s="30"/>
      <c r="F218" s="30"/>
      <c r="G218" s="327" t="s">
        <v>743</v>
      </c>
      <c r="H218" s="39" t="s">
        <v>181</v>
      </c>
      <c r="I218" s="470">
        <f>$AU$63</f>
        <v>1695</v>
      </c>
      <c r="J218" s="470"/>
      <c r="K218" s="30" t="s">
        <v>743</v>
      </c>
      <c r="L218" s="39" t="s">
        <v>182</v>
      </c>
      <c r="M218" s="470">
        <f>$AY$64</f>
        <v>10</v>
      </c>
      <c r="N218" s="470"/>
      <c r="O218" s="30" t="s">
        <v>743</v>
      </c>
      <c r="P218" s="36" t="s">
        <v>183</v>
      </c>
      <c r="Q218" s="438">
        <f>$AW$64</f>
        <v>0.75</v>
      </c>
      <c r="R218" s="438"/>
      <c r="S218" s="30"/>
      <c r="T218" s="44">
        <f t="shared" si="46"/>
        <v>9</v>
      </c>
      <c r="U218" s="44"/>
    </row>
    <row r="219" spans="1:67" ht="14.25">
      <c r="A219" s="30"/>
      <c r="B219" s="194"/>
      <c r="C219" s="360"/>
      <c r="D219" s="360"/>
      <c r="E219" s="69"/>
      <c r="F219" s="355"/>
      <c r="G219" s="327"/>
      <c r="H219" s="327"/>
      <c r="I219" s="327"/>
      <c r="J219" s="327"/>
      <c r="K219" s="327"/>
      <c r="L219" s="327"/>
      <c r="M219" s="327"/>
      <c r="N219" s="327"/>
      <c r="O219" s="327"/>
      <c r="P219" s="327"/>
      <c r="Q219" s="327"/>
      <c r="R219" s="30"/>
      <c r="S219" s="30"/>
      <c r="T219" s="44">
        <f t="shared" si="46"/>
        <v>10</v>
      </c>
      <c r="U219" s="44"/>
    </row>
    <row r="220" spans="1:67" ht="14.25">
      <c r="A220" s="30"/>
      <c r="B220" s="38" t="s">
        <v>184</v>
      </c>
      <c r="C220" s="38"/>
      <c r="D220" s="38"/>
      <c r="E220" s="38"/>
      <c r="F220" s="30"/>
      <c r="G220" s="30"/>
      <c r="H220" s="30"/>
      <c r="I220" s="30"/>
      <c r="J220" s="30"/>
      <c r="K220" s="30"/>
      <c r="L220" s="30"/>
      <c r="M220" s="30"/>
      <c r="N220" s="30"/>
      <c r="O220" s="30"/>
      <c r="P220" s="30"/>
      <c r="Q220" s="30"/>
      <c r="R220" s="30"/>
      <c r="S220" s="30"/>
      <c r="T220" s="44">
        <f t="shared" si="46"/>
        <v>11</v>
      </c>
      <c r="U220" s="44"/>
    </row>
    <row r="221" spans="1:67" ht="14.25">
      <c r="A221" s="30"/>
      <c r="B221" s="38"/>
      <c r="C221" s="38"/>
      <c r="D221" s="38"/>
      <c r="E221" s="38"/>
      <c r="F221" s="30"/>
      <c r="G221" s="30"/>
      <c r="H221" s="30"/>
      <c r="I221" s="30"/>
      <c r="J221" s="30"/>
      <c r="K221" s="30"/>
      <c r="L221" s="30"/>
      <c r="M221" s="30"/>
      <c r="N221" s="30"/>
      <c r="O221" s="30"/>
      <c r="P221" s="30"/>
      <c r="Q221" s="30"/>
      <c r="R221" s="30"/>
      <c r="S221" s="30"/>
      <c r="T221" s="44">
        <f t="shared" si="46"/>
        <v>12</v>
      </c>
      <c r="U221" s="44"/>
    </row>
    <row r="222" spans="1:67" ht="14.25">
      <c r="A222" s="30"/>
      <c r="B222" s="51"/>
      <c r="C222" s="51"/>
      <c r="D222" s="360"/>
      <c r="E222" s="366"/>
      <c r="F222" s="30"/>
      <c r="G222" s="30"/>
      <c r="H222" s="30"/>
      <c r="I222" s="30"/>
      <c r="J222" s="360"/>
      <c r="K222" s="363"/>
      <c r="L222" s="360"/>
      <c r="M222" s="360"/>
      <c r="N222" s="360"/>
      <c r="O222" s="360"/>
      <c r="P222" s="360"/>
      <c r="Q222" s="360"/>
      <c r="R222" s="363"/>
      <c r="S222" s="429"/>
      <c r="T222" s="44">
        <f t="shared" si="46"/>
        <v>13</v>
      </c>
      <c r="U222" s="44"/>
    </row>
    <row r="223" spans="1:67" ht="14.25">
      <c r="A223" s="30"/>
      <c r="B223" s="51"/>
      <c r="C223" s="51"/>
      <c r="D223" s="360"/>
      <c r="E223" s="360"/>
      <c r="F223" s="69"/>
      <c r="G223" s="355"/>
      <c r="H223" s="69"/>
      <c r="I223" s="69"/>
      <c r="J223" s="360"/>
      <c r="K223" s="359"/>
      <c r="L223" s="360"/>
      <c r="M223" s="360"/>
      <c r="N223" s="360"/>
      <c r="O223" s="360"/>
      <c r="P223" s="360"/>
      <c r="Q223" s="360"/>
      <c r="R223" s="363"/>
      <c r="S223" s="429"/>
      <c r="T223" s="44">
        <f t="shared" si="46"/>
        <v>14</v>
      </c>
      <c r="U223" s="44"/>
    </row>
    <row r="224" spans="1:67" ht="14.25">
      <c r="A224" s="30"/>
      <c r="B224" s="30"/>
      <c r="C224" s="30"/>
      <c r="D224" s="30"/>
      <c r="E224" s="30"/>
      <c r="F224" s="361"/>
      <c r="G224" s="361"/>
      <c r="H224" s="361"/>
      <c r="I224" s="30"/>
      <c r="J224" s="30"/>
      <c r="K224" s="30"/>
      <c r="L224" s="30"/>
      <c r="M224" s="30"/>
      <c r="N224" s="30"/>
      <c r="O224" s="30"/>
      <c r="P224" s="30"/>
      <c r="Q224" s="30"/>
      <c r="R224" s="30"/>
      <c r="S224" s="30"/>
      <c r="T224" s="44">
        <f t="shared" si="46"/>
        <v>15</v>
      </c>
      <c r="U224" s="44"/>
    </row>
    <row r="225" spans="1:21" ht="14.25">
      <c r="A225" s="30"/>
      <c r="B225" s="30"/>
      <c r="C225" s="30"/>
      <c r="D225" s="360"/>
      <c r="E225" s="366"/>
      <c r="F225" s="30"/>
      <c r="G225" s="30"/>
      <c r="H225" s="30"/>
      <c r="I225" s="30"/>
      <c r="J225" s="360"/>
      <c r="K225" s="363"/>
      <c r="L225" s="360"/>
      <c r="M225" s="360"/>
      <c r="N225" s="351"/>
      <c r="O225" s="351"/>
      <c r="P225" s="360"/>
      <c r="Q225" s="31"/>
      <c r="R225" s="30"/>
      <c r="S225" s="30"/>
      <c r="T225" s="44">
        <f t="shared" si="46"/>
        <v>16</v>
      </c>
      <c r="U225" s="44"/>
    </row>
    <row r="226" spans="1:21" ht="14.25">
      <c r="A226" s="44"/>
      <c r="B226" s="41" t="s">
        <v>186</v>
      </c>
      <c r="C226" s="44"/>
      <c r="D226" s="68"/>
      <c r="E226" s="68"/>
      <c r="F226" s="68"/>
      <c r="G226" s="67"/>
      <c r="H226" s="67"/>
      <c r="I226" s="41"/>
      <c r="J226" s="41"/>
      <c r="K226" s="41"/>
      <c r="L226" s="41"/>
      <c r="M226" s="30"/>
      <c r="N226" s="30"/>
      <c r="O226" s="30"/>
      <c r="P226" s="30"/>
      <c r="Q226" s="30"/>
      <c r="R226" s="30"/>
      <c r="S226" s="52"/>
      <c r="T226" s="44">
        <f t="shared" si="46"/>
        <v>17</v>
      </c>
      <c r="U226" s="44"/>
    </row>
    <row r="227" spans="1:21" ht="14.25">
      <c r="A227" s="30"/>
      <c r="B227" s="68"/>
      <c r="C227" s="68"/>
      <c r="D227" s="68"/>
      <c r="E227" s="68"/>
      <c r="F227" s="67"/>
      <c r="G227" s="67"/>
      <c r="H227" s="41"/>
      <c r="I227" s="41"/>
      <c r="J227" s="41"/>
      <c r="K227" s="41"/>
      <c r="L227" s="30"/>
      <c r="M227" s="30"/>
      <c r="N227" s="30"/>
      <c r="O227" s="30"/>
      <c r="P227" s="30"/>
      <c r="Q227" s="30"/>
      <c r="R227" s="52"/>
      <c r="S227" s="52"/>
      <c r="T227" s="44">
        <f t="shared" si="46"/>
        <v>18</v>
      </c>
      <c r="U227" s="44"/>
    </row>
    <row r="228" spans="1:21" ht="14.25">
      <c r="A228" s="44"/>
      <c r="B228" s="44"/>
      <c r="C228" s="501"/>
      <c r="D228" s="31"/>
      <c r="E228" s="31"/>
      <c r="F228" s="31"/>
      <c r="G228" s="30"/>
      <c r="H228" s="30"/>
      <c r="I228" s="30"/>
      <c r="J228" s="30"/>
      <c r="K228" s="30"/>
      <c r="L228" s="30"/>
      <c r="M228" s="30"/>
      <c r="N228" s="351"/>
      <c r="O228" s="363"/>
      <c r="P228" s="351"/>
      <c r="Q228" s="360"/>
      <c r="R228" s="31"/>
      <c r="S228" s="367"/>
      <c r="T228" s="44">
        <f t="shared" si="46"/>
        <v>19</v>
      </c>
      <c r="U228" s="44"/>
    </row>
    <row r="229" spans="1:21" ht="14.25">
      <c r="A229" s="44"/>
      <c r="B229" s="44"/>
      <c r="C229" s="523"/>
      <c r="D229" s="31"/>
      <c r="E229" s="31"/>
      <c r="F229" s="31"/>
      <c r="G229" s="69"/>
      <c r="H229" s="69"/>
      <c r="I229" s="69"/>
      <c r="J229" s="69"/>
      <c r="K229" s="69"/>
      <c r="L229" s="69"/>
      <c r="M229" s="69"/>
      <c r="N229" s="351"/>
      <c r="O229" s="359"/>
      <c r="P229" s="351"/>
      <c r="Q229" s="360"/>
      <c r="R229" s="31"/>
      <c r="S229" s="31"/>
      <c r="T229" s="44">
        <f t="shared" si="46"/>
        <v>20</v>
      </c>
      <c r="U229" s="44"/>
    </row>
    <row r="230" spans="1:21" ht="15.75">
      <c r="A230" s="30"/>
      <c r="B230" s="30" t="s">
        <v>187</v>
      </c>
      <c r="C230" s="30"/>
      <c r="D230" s="30"/>
      <c r="E230" s="30"/>
      <c r="F230" s="44"/>
      <c r="G230" s="30"/>
      <c r="H230" s="30"/>
      <c r="I230" s="30"/>
      <c r="J230" s="30"/>
      <c r="K230" s="30"/>
      <c r="L230" s="73"/>
      <c r="M230" s="73"/>
      <c r="N230" s="30"/>
      <c r="O230" s="30"/>
      <c r="P230" s="30"/>
      <c r="Q230" s="30"/>
      <c r="R230" s="30"/>
      <c r="S230" s="30"/>
      <c r="T230" s="44">
        <f t="shared" si="46"/>
        <v>21</v>
      </c>
      <c r="U230" s="44"/>
    </row>
    <row r="231" spans="1:21" ht="14.25">
      <c r="A231" s="30"/>
      <c r="B231" s="30"/>
      <c r="C231" s="30"/>
      <c r="D231" s="30"/>
      <c r="E231" s="30"/>
      <c r="F231" s="30"/>
      <c r="G231" s="30"/>
      <c r="H231" s="30"/>
      <c r="I231" s="30"/>
      <c r="J231" s="30"/>
      <c r="K231" s="30"/>
      <c r="L231" s="73"/>
      <c r="M231" s="73"/>
      <c r="N231" s="30"/>
      <c r="O231" s="30"/>
      <c r="P231" s="30"/>
      <c r="Q231" s="30"/>
      <c r="R231" s="30"/>
      <c r="S231" s="30"/>
      <c r="T231" s="44">
        <f t="shared" ref="T231:T290" si="48">T230+1</f>
        <v>22</v>
      </c>
      <c r="U231" s="44"/>
    </row>
    <row r="232" spans="1:21" ht="14.25">
      <c r="A232" s="30"/>
      <c r="B232" s="30"/>
      <c r="C232" s="30"/>
      <c r="D232" s="30"/>
      <c r="E232" s="30"/>
      <c r="F232" s="67"/>
      <c r="G232" s="67"/>
      <c r="H232" s="30"/>
      <c r="I232" s="30"/>
      <c r="J232" s="30"/>
      <c r="K232" s="30"/>
      <c r="L232" s="72"/>
      <c r="M232" s="72"/>
      <c r="N232" s="30"/>
      <c r="O232" s="30"/>
      <c r="P232" s="30"/>
      <c r="Q232" s="30"/>
      <c r="R232" s="30"/>
      <c r="S232" s="30"/>
      <c r="T232" s="44">
        <f t="shared" si="48"/>
        <v>23</v>
      </c>
      <c r="U232" s="44"/>
    </row>
    <row r="233" spans="1:21" ht="14.25">
      <c r="A233" s="30"/>
      <c r="B233" s="30"/>
      <c r="C233" s="30"/>
      <c r="D233" s="30"/>
      <c r="E233" s="30"/>
      <c r="F233" s="67"/>
      <c r="G233" s="67"/>
      <c r="H233" s="30"/>
      <c r="I233" s="30"/>
      <c r="J233" s="30"/>
      <c r="K233" s="30"/>
      <c r="L233" s="72"/>
      <c r="M233" s="72"/>
      <c r="N233" s="30"/>
      <c r="O233" s="30"/>
      <c r="P233" s="30"/>
      <c r="Q233" s="30"/>
      <c r="R233" s="30"/>
      <c r="S233" s="30"/>
      <c r="T233" s="44">
        <f t="shared" si="48"/>
        <v>24</v>
      </c>
      <c r="U233" s="44"/>
    </row>
    <row r="234" spans="1:21" ht="15.75">
      <c r="A234" s="30"/>
      <c r="B234" s="30" t="s">
        <v>188</v>
      </c>
      <c r="C234" s="30"/>
      <c r="D234" s="30"/>
      <c r="E234" s="30"/>
      <c r="F234" s="30"/>
      <c r="G234" s="30"/>
      <c r="H234" s="30"/>
      <c r="I234" s="30"/>
      <c r="J234" s="30"/>
      <c r="K234" s="30"/>
      <c r="L234" s="73"/>
      <c r="M234" s="73"/>
      <c r="N234" s="30"/>
      <c r="O234" s="30"/>
      <c r="P234" s="30"/>
      <c r="Q234" s="30"/>
      <c r="R234" s="30"/>
      <c r="S234" s="30"/>
      <c r="T234" s="44">
        <f t="shared" si="48"/>
        <v>25</v>
      </c>
      <c r="U234" s="44"/>
    </row>
    <row r="235" spans="1:21" ht="14.25">
      <c r="A235" s="30"/>
      <c r="B235" s="30"/>
      <c r="C235" s="30"/>
      <c r="D235" s="30"/>
      <c r="E235" s="30"/>
      <c r="F235" s="30"/>
      <c r="G235" s="30"/>
      <c r="H235" s="30"/>
      <c r="I235" s="30"/>
      <c r="J235" s="30"/>
      <c r="K235" s="30"/>
      <c r="L235" s="73"/>
      <c r="M235" s="73"/>
      <c r="N235" s="30"/>
      <c r="O235" s="30"/>
      <c r="P235" s="30"/>
      <c r="Q235" s="30"/>
      <c r="R235" s="30"/>
      <c r="S235" s="30"/>
      <c r="T235" s="44">
        <f t="shared" si="48"/>
        <v>26</v>
      </c>
      <c r="U235" s="44"/>
    </row>
    <row r="236" spans="1:21" ht="14.25">
      <c r="A236" s="30"/>
      <c r="B236" s="30"/>
      <c r="C236" s="30"/>
      <c r="D236" s="31"/>
      <c r="E236" s="31"/>
      <c r="F236" s="30"/>
      <c r="G236" s="30"/>
      <c r="H236" s="30"/>
      <c r="I236" s="30"/>
      <c r="J236" s="30"/>
      <c r="K236" s="30"/>
      <c r="L236" s="358"/>
      <c r="M236" s="351"/>
      <c r="N236" s="31"/>
      <c r="O236" s="31"/>
      <c r="P236" s="30"/>
      <c r="Q236" s="30"/>
      <c r="R236" s="30"/>
      <c r="S236" s="30"/>
      <c r="T236" s="44">
        <f t="shared" si="48"/>
        <v>27</v>
      </c>
      <c r="U236" s="44"/>
    </row>
    <row r="237" spans="1:21" ht="14.25">
      <c r="A237" s="30"/>
      <c r="B237" s="44"/>
      <c r="C237" s="74"/>
      <c r="D237" s="31"/>
      <c r="E237" s="31"/>
      <c r="F237" s="69"/>
      <c r="G237" s="69"/>
      <c r="H237" s="69"/>
      <c r="I237" s="69"/>
      <c r="J237" s="69"/>
      <c r="K237" s="69"/>
      <c r="L237" s="358"/>
      <c r="M237" s="351"/>
      <c r="N237" s="31"/>
      <c r="O237" s="31"/>
      <c r="P237" s="44"/>
      <c r="Q237" s="30"/>
      <c r="R237" s="44"/>
      <c r="S237" s="74"/>
      <c r="T237" s="44">
        <f t="shared" si="48"/>
        <v>28</v>
      </c>
      <c r="U237" s="44"/>
    </row>
    <row r="238" spans="1:21" ht="14.25">
      <c r="A238" s="30"/>
      <c r="B238" s="30"/>
      <c r="C238" s="30"/>
      <c r="D238" s="30"/>
      <c r="E238" s="30"/>
      <c r="F238" s="30"/>
      <c r="G238" s="30"/>
      <c r="H238" s="75"/>
      <c r="I238" s="75"/>
      <c r="J238" s="75"/>
      <c r="K238" s="75"/>
      <c r="L238" s="30"/>
      <c r="M238" s="30"/>
      <c r="N238" s="30"/>
      <c r="O238" s="30"/>
      <c r="P238" s="30"/>
      <c r="Q238" s="30"/>
      <c r="R238" s="30"/>
      <c r="S238" s="30"/>
      <c r="T238" s="44">
        <f t="shared" si="48"/>
        <v>29</v>
      </c>
      <c r="U238" s="44"/>
    </row>
    <row r="239" spans="1:21" ht="14.25">
      <c r="A239" s="30"/>
      <c r="B239" s="44"/>
      <c r="C239" s="39"/>
      <c r="D239" s="39" t="s">
        <v>98</v>
      </c>
      <c r="E239" s="202" t="s">
        <v>75</v>
      </c>
      <c r="F239" s="439" t="s">
        <v>366</v>
      </c>
      <c r="G239" s="438"/>
      <c r="H239" s="47" t="s">
        <v>189</v>
      </c>
      <c r="I239" s="202"/>
      <c r="J239" s="39" t="s">
        <v>99</v>
      </c>
      <c r="K239" s="202" t="s">
        <v>75</v>
      </c>
      <c r="L239" s="438" t="e">
        <f>$P$213</f>
        <v>#DIV/0!</v>
      </c>
      <c r="M239" s="438"/>
      <c r="N239" s="47" t="s">
        <v>190</v>
      </c>
      <c r="O239" s="30"/>
      <c r="P239" s="38"/>
      <c r="Q239" s="30"/>
      <c r="R239" s="30"/>
      <c r="S239" s="30"/>
      <c r="T239" s="44">
        <f t="shared" si="48"/>
        <v>30</v>
      </c>
      <c r="U239" s="44"/>
    </row>
    <row r="240" spans="1:21" ht="13.5" customHeight="1">
      <c r="A240" s="30"/>
      <c r="B240" s="39"/>
      <c r="C240" s="39"/>
      <c r="D240" s="202" t="s">
        <v>77</v>
      </c>
      <c r="E240" s="202" t="s">
        <v>75</v>
      </c>
      <c r="F240" s="438" t="e">
        <f>AO54</f>
        <v>#VALUE!</v>
      </c>
      <c r="G240" s="438"/>
      <c r="H240" s="38" t="s">
        <v>729</v>
      </c>
      <c r="I240" s="202" t="s">
        <v>191</v>
      </c>
      <c r="J240" s="202" t="s">
        <v>75</v>
      </c>
      <c r="K240" s="438" t="e">
        <f>-AU54</f>
        <v>#VALUE!</v>
      </c>
      <c r="L240" s="438"/>
      <c r="M240" s="38" t="s">
        <v>729</v>
      </c>
      <c r="N240" s="202" t="s">
        <v>79</v>
      </c>
      <c r="O240" s="202" t="s">
        <v>75</v>
      </c>
      <c r="P240" s="470" t="e">
        <f>AY54</f>
        <v>#VALUE!</v>
      </c>
      <c r="Q240" s="470"/>
      <c r="R240" s="470"/>
      <c r="S240" s="30"/>
      <c r="T240" s="44">
        <f t="shared" si="48"/>
        <v>31</v>
      </c>
      <c r="U240" s="44"/>
    </row>
    <row r="241" spans="1:21" ht="13.5" customHeight="1">
      <c r="A241" s="30"/>
      <c r="B241" s="37"/>
      <c r="C241" s="37"/>
      <c r="D241" s="37"/>
      <c r="E241" s="39"/>
      <c r="F241" s="42"/>
      <c r="G241" s="42"/>
      <c r="H241" s="38"/>
      <c r="I241" s="38"/>
      <c r="J241" s="38"/>
      <c r="K241" s="38"/>
      <c r="L241" s="38"/>
      <c r="M241" s="38"/>
      <c r="N241" s="30"/>
      <c r="O241" s="30"/>
      <c r="P241" s="30"/>
      <c r="Q241" s="30"/>
      <c r="R241" s="51"/>
      <c r="S241" s="51"/>
      <c r="T241" s="44">
        <f t="shared" si="48"/>
        <v>32</v>
      </c>
      <c r="U241" s="44"/>
    </row>
    <row r="242" spans="1:21" ht="13.5" customHeight="1">
      <c r="A242" s="30"/>
      <c r="B242" s="429" t="s">
        <v>192</v>
      </c>
      <c r="C242" s="429" t="s">
        <v>75</v>
      </c>
      <c r="D242" s="429" t="s">
        <v>193</v>
      </c>
      <c r="E242" s="480" t="e">
        <f>-K240</f>
        <v>#VALUE!</v>
      </c>
      <c r="F242" s="480"/>
      <c r="G242" s="201" t="s">
        <v>135</v>
      </c>
      <c r="H242" s="480" t="e">
        <f>-K240</f>
        <v>#VALUE!</v>
      </c>
      <c r="I242" s="480"/>
      <c r="J242" s="87">
        <v>2</v>
      </c>
      <c r="K242" s="509" t="e">
        <f>"－４×"&amp;F240</f>
        <v>#VALUE!</v>
      </c>
      <c r="L242" s="509"/>
      <c r="M242" s="509"/>
      <c r="N242" s="88" t="s">
        <v>130</v>
      </c>
      <c r="O242" s="509" t="e">
        <f>P240</f>
        <v>#VALUE!</v>
      </c>
      <c r="P242" s="509"/>
      <c r="Q242" s="509"/>
      <c r="R242" s="510" t="s">
        <v>131</v>
      </c>
      <c r="S242" s="94">
        <f>1/$AW$64</f>
        <v>1.3333333333333333</v>
      </c>
      <c r="T242" s="44">
        <f t="shared" si="48"/>
        <v>33</v>
      </c>
      <c r="U242" s="44"/>
    </row>
    <row r="243" spans="1:21" ht="13.5" customHeight="1">
      <c r="A243" s="30"/>
      <c r="B243" s="429"/>
      <c r="C243" s="429"/>
      <c r="D243" s="429"/>
      <c r="E243" s="512" t="e">
        <f>2*F240</f>
        <v>#VALUE!</v>
      </c>
      <c r="F243" s="512"/>
      <c r="G243" s="512"/>
      <c r="H243" s="512"/>
      <c r="I243" s="512"/>
      <c r="J243" s="512"/>
      <c r="K243" s="512"/>
      <c r="L243" s="512"/>
      <c r="M243" s="512"/>
      <c r="N243" s="512"/>
      <c r="O243" s="512"/>
      <c r="P243" s="512"/>
      <c r="Q243" s="512"/>
      <c r="R243" s="511"/>
      <c r="S243" s="77"/>
      <c r="T243" s="44">
        <f t="shared" si="48"/>
        <v>34</v>
      </c>
      <c r="U243" s="44"/>
    </row>
    <row r="244" spans="1:21" ht="13.5" customHeight="1">
      <c r="A244" s="30"/>
      <c r="B244" s="44"/>
      <c r="C244" s="200" t="s">
        <v>75</v>
      </c>
      <c r="D244" s="429" t="e">
        <f>ROUND(((E242+SQRT(H242^2-4*($P$213)*O242))/E243)^(1/$AW$64),2)</f>
        <v>#VALUE!</v>
      </c>
      <c r="E244" s="429"/>
      <c r="F244" s="77" t="s">
        <v>85</v>
      </c>
      <c r="G244" s="31"/>
      <c r="H244" s="44"/>
      <c r="I244" s="77"/>
      <c r="J244" s="77"/>
      <c r="K244" s="77"/>
      <c r="L244" s="30"/>
      <c r="M244" s="30"/>
      <c r="N244" s="30"/>
      <c r="O244" s="30"/>
      <c r="P244" s="30"/>
      <c r="Q244" s="30"/>
      <c r="R244" s="30"/>
      <c r="S244" s="30"/>
      <c r="T244" s="44">
        <f t="shared" si="48"/>
        <v>35</v>
      </c>
      <c r="U244" s="44"/>
    </row>
    <row r="245" spans="1:21" ht="13.5" customHeight="1">
      <c r="A245" s="30"/>
      <c r="B245" s="74"/>
      <c r="C245" s="74"/>
      <c r="D245" s="74"/>
      <c r="E245" s="74"/>
      <c r="F245" s="31"/>
      <c r="G245" s="31"/>
      <c r="H245" s="31"/>
      <c r="I245" s="31"/>
      <c r="J245" s="31"/>
      <c r="K245" s="31"/>
      <c r="L245" s="30"/>
      <c r="M245" s="30"/>
      <c r="N245" s="30"/>
      <c r="O245" s="30"/>
      <c r="P245" s="30"/>
      <c r="Q245" s="30"/>
      <c r="R245" s="30"/>
      <c r="S245" s="30"/>
      <c r="T245" s="44">
        <f t="shared" si="48"/>
        <v>36</v>
      </c>
      <c r="U245" s="44"/>
    </row>
    <row r="246" spans="1:21" ht="13.5" customHeight="1">
      <c r="A246" s="30"/>
      <c r="B246" s="501" t="s">
        <v>83</v>
      </c>
      <c r="C246" s="429" t="s">
        <v>75</v>
      </c>
      <c r="D246" s="502">
        <f>$AU$63</f>
        <v>1695</v>
      </c>
      <c r="E246" s="502"/>
      <c r="F246" s="502"/>
      <c r="G246" s="502"/>
      <c r="H246" s="502"/>
      <c r="I246" s="429" t="s">
        <v>75</v>
      </c>
      <c r="J246" s="427" t="e">
        <f>ROUNDUP($AU$63/($AV$57^$AW$64+$AY$64),2)</f>
        <v>#VALUE!</v>
      </c>
      <c r="K246" s="427"/>
      <c r="L246" s="499" t="s">
        <v>59</v>
      </c>
      <c r="M246" s="499"/>
      <c r="N246" s="327"/>
      <c r="O246" s="327"/>
      <c r="P246" s="327"/>
      <c r="Q246" s="327"/>
      <c r="R246" s="327"/>
      <c r="S246" s="357"/>
      <c r="T246" s="44">
        <f t="shared" si="48"/>
        <v>37</v>
      </c>
      <c r="U246" s="44"/>
    </row>
    <row r="247" spans="1:21" ht="13.5" customHeight="1">
      <c r="A247" s="30"/>
      <c r="B247" s="501"/>
      <c r="C247" s="429"/>
      <c r="D247" s="507" t="e">
        <f>ROUND($AV$57^$AW$64,3)</f>
        <v>#VALUE!</v>
      </c>
      <c r="E247" s="507"/>
      <c r="F247" s="66" t="s">
        <v>135</v>
      </c>
      <c r="G247" s="935">
        <f>$AY$64</f>
        <v>10</v>
      </c>
      <c r="H247" s="935"/>
      <c r="I247" s="429"/>
      <c r="J247" s="427"/>
      <c r="K247" s="427"/>
      <c r="L247" s="499"/>
      <c r="M247" s="499"/>
      <c r="N247" s="327"/>
      <c r="O247" s="327"/>
      <c r="P247" s="327"/>
      <c r="Q247" s="327"/>
      <c r="R247" s="327"/>
      <c r="S247" s="357"/>
      <c r="T247" s="44">
        <f t="shared" si="48"/>
        <v>38</v>
      </c>
      <c r="U247" s="44"/>
    </row>
    <row r="248" spans="1:21" ht="13.5" customHeight="1">
      <c r="A248" s="30"/>
      <c r="B248" s="30"/>
      <c r="C248" s="30"/>
      <c r="D248" s="30"/>
      <c r="E248" s="30"/>
      <c r="F248" s="78"/>
      <c r="G248" s="78"/>
      <c r="H248" s="30"/>
      <c r="I248" s="30"/>
      <c r="J248" s="30"/>
      <c r="K248" s="30"/>
      <c r="L248" s="89"/>
      <c r="M248" s="89"/>
      <c r="N248" s="90"/>
      <c r="O248" s="90"/>
      <c r="P248" s="90"/>
      <c r="Q248" s="90"/>
      <c r="R248" s="30"/>
      <c r="S248" s="30"/>
      <c r="T248" s="44">
        <f t="shared" si="48"/>
        <v>39</v>
      </c>
      <c r="U248" s="44"/>
    </row>
    <row r="249" spans="1:21" ht="13.5" customHeight="1">
      <c r="A249" s="134" t="s">
        <v>463</v>
      </c>
      <c r="B249" s="30"/>
      <c r="C249" s="30"/>
      <c r="D249" s="30"/>
      <c r="E249" s="30"/>
      <c r="F249" s="30"/>
      <c r="G249" s="30"/>
      <c r="H249" s="30"/>
      <c r="I249" s="30"/>
      <c r="J249" s="30"/>
      <c r="K249" s="30"/>
      <c r="L249" s="30"/>
      <c r="M249" s="30"/>
      <c r="N249" s="30"/>
      <c r="O249" s="30"/>
      <c r="P249" s="30"/>
      <c r="Q249" s="30"/>
      <c r="R249" s="30"/>
      <c r="S249" s="30"/>
      <c r="T249" s="44">
        <f t="shared" si="48"/>
        <v>40</v>
      </c>
      <c r="U249" s="44"/>
    </row>
    <row r="250" spans="1:21" ht="13.5" customHeight="1">
      <c r="A250" s="44"/>
      <c r="B250" s="79"/>
      <c r="C250" s="429" t="s">
        <v>194</v>
      </c>
      <c r="D250" s="503" t="s">
        <v>185</v>
      </c>
      <c r="E250" s="427" t="e">
        <f>$AO$57</f>
        <v>#VALUE!</v>
      </c>
      <c r="F250" s="427"/>
      <c r="G250" s="429" t="s">
        <v>97</v>
      </c>
      <c r="H250" s="831" t="s">
        <v>480</v>
      </c>
      <c r="I250" s="504"/>
      <c r="J250" s="506" t="e">
        <f>$P$213</f>
        <v>#DIV/0!</v>
      </c>
      <c r="K250" s="506"/>
      <c r="L250" s="498" t="e">
        <f>")×"&amp;$AV$57&amp;"×60×"&amp;$M$7&amp;"×"&amp;ROUND($G$15/10000,5)&amp;"×"</f>
        <v>#VALUE!</v>
      </c>
      <c r="M250" s="498"/>
      <c r="N250" s="498"/>
      <c r="O250" s="498"/>
      <c r="P250" s="498"/>
      <c r="Q250" s="498"/>
      <c r="R250" s="498"/>
      <c r="S250" s="195">
        <v>1</v>
      </c>
      <c r="T250" s="44">
        <f t="shared" si="48"/>
        <v>41</v>
      </c>
      <c r="U250" s="44"/>
    </row>
    <row r="251" spans="1:21" ht="13.5" customHeight="1">
      <c r="A251" s="30"/>
      <c r="B251" s="51"/>
      <c r="C251" s="429"/>
      <c r="D251" s="501"/>
      <c r="E251" s="427"/>
      <c r="F251" s="427"/>
      <c r="G251" s="429"/>
      <c r="H251" s="429">
        <v>2</v>
      </c>
      <c r="I251" s="429"/>
      <c r="J251" s="506"/>
      <c r="K251" s="506"/>
      <c r="L251" s="498"/>
      <c r="M251" s="498"/>
      <c r="N251" s="498"/>
      <c r="O251" s="498"/>
      <c r="P251" s="498"/>
      <c r="Q251" s="498"/>
      <c r="R251" s="498"/>
      <c r="S251" s="191">
        <v>360</v>
      </c>
      <c r="T251" s="44">
        <f t="shared" si="48"/>
        <v>42</v>
      </c>
      <c r="U251" s="44"/>
    </row>
    <row r="252" spans="1:21" ht="13.5" customHeight="1">
      <c r="A252" s="30"/>
      <c r="B252" s="193"/>
      <c r="C252" s="193"/>
      <c r="D252" s="191" t="s">
        <v>75</v>
      </c>
      <c r="E252" s="455" t="e">
        <f>ROUND(($AO$57-$P$213)*$AV$57*60*($M$7*$G$15/10000)/360,2)</f>
        <v>#VALUE!</v>
      </c>
      <c r="F252" s="455"/>
      <c r="G252" s="192" t="s">
        <v>76</v>
      </c>
      <c r="H252" s="80"/>
      <c r="I252" s="80"/>
      <c r="J252" s="80"/>
      <c r="K252" s="80"/>
      <c r="L252" s="80"/>
      <c r="M252" s="80"/>
      <c r="N252" s="191"/>
      <c r="O252" s="191"/>
      <c r="P252" s="44"/>
      <c r="Q252" s="44"/>
      <c r="R252" s="44"/>
      <c r="S252" s="44"/>
      <c r="T252" s="44">
        <f t="shared" si="48"/>
        <v>43</v>
      </c>
      <c r="U252" s="44"/>
    </row>
    <row r="253" spans="1:21" ht="13.5" customHeight="1">
      <c r="A253" s="30"/>
      <c r="B253" s="30"/>
      <c r="C253" s="30"/>
      <c r="D253" s="30"/>
      <c r="E253" s="30"/>
      <c r="F253" s="30"/>
      <c r="G253" s="30"/>
      <c r="H253" s="30"/>
      <c r="I253" s="30"/>
      <c r="J253" s="30"/>
      <c r="K253" s="30"/>
      <c r="L253" s="74"/>
      <c r="M253" s="74"/>
      <c r="N253" s="77"/>
      <c r="O253" s="77"/>
      <c r="P253" s="77"/>
      <c r="Q253" s="77"/>
      <c r="R253" s="77"/>
      <c r="S253" s="77"/>
      <c r="T253" s="44">
        <f t="shared" si="48"/>
        <v>44</v>
      </c>
      <c r="U253" s="44"/>
    </row>
    <row r="254" spans="1:21" ht="13.5" customHeight="1">
      <c r="A254" s="30"/>
      <c r="B254" s="30"/>
      <c r="C254" s="30"/>
      <c r="D254" s="30" t="s">
        <v>195</v>
      </c>
      <c r="E254" s="30"/>
      <c r="F254" s="30"/>
      <c r="G254" s="30"/>
      <c r="H254" s="30"/>
      <c r="I254" s="30"/>
      <c r="J254" s="30"/>
      <c r="K254" s="30"/>
      <c r="L254" s="74"/>
      <c r="M254" s="74"/>
      <c r="N254" s="77"/>
      <c r="O254" s="77"/>
      <c r="P254" s="77"/>
      <c r="Q254" s="77"/>
      <c r="R254" s="77"/>
      <c r="S254" s="77"/>
      <c r="T254" s="44">
        <f t="shared" si="48"/>
        <v>45</v>
      </c>
      <c r="U254" s="44"/>
    </row>
    <row r="255" spans="1:21" ht="13.5" customHeight="1">
      <c r="A255" s="30"/>
      <c r="B255" s="30"/>
      <c r="C255" s="30"/>
      <c r="D255" s="30"/>
      <c r="E255" s="30"/>
      <c r="F255" s="30"/>
      <c r="G255" s="30"/>
      <c r="H255" s="30"/>
      <c r="I255" s="30"/>
      <c r="J255" s="30"/>
      <c r="K255" s="30"/>
      <c r="L255" s="74"/>
      <c r="M255" s="74"/>
      <c r="N255" s="77"/>
      <c r="O255" s="77"/>
      <c r="P255" s="77"/>
      <c r="Q255" s="77"/>
      <c r="R255" s="77"/>
      <c r="S255" s="77"/>
      <c r="T255" s="44">
        <f t="shared" si="48"/>
        <v>46</v>
      </c>
      <c r="U255" s="44"/>
    </row>
    <row r="256" spans="1:21" ht="13.5" customHeight="1">
      <c r="A256" s="134" t="s">
        <v>196</v>
      </c>
      <c r="B256" s="30"/>
      <c r="C256" s="30"/>
      <c r="D256" s="30"/>
      <c r="E256" s="30"/>
      <c r="F256" s="30"/>
      <c r="G256" s="30"/>
      <c r="H256" s="30"/>
      <c r="I256" s="30"/>
      <c r="J256" s="30"/>
      <c r="K256" s="30"/>
      <c r="L256" s="30"/>
      <c r="M256" s="30"/>
      <c r="N256" s="30"/>
      <c r="O256" s="30"/>
      <c r="P256" s="30"/>
      <c r="Q256" s="30"/>
      <c r="R256" s="30"/>
      <c r="S256" s="30"/>
      <c r="T256" s="44">
        <f t="shared" si="48"/>
        <v>47</v>
      </c>
      <c r="U256" s="44"/>
    </row>
    <row r="257" spans="1:21" ht="13.5" customHeight="1">
      <c r="A257" s="30"/>
      <c r="B257" s="44"/>
      <c r="C257" s="203" t="s">
        <v>197</v>
      </c>
      <c r="D257" s="203" t="s">
        <v>75</v>
      </c>
      <c r="E257" s="438">
        <f>AS59</f>
        <v>15</v>
      </c>
      <c r="F257" s="438"/>
      <c r="G257" s="197" t="s">
        <v>130</v>
      </c>
      <c r="H257" s="479">
        <f>$G$15/10000</f>
        <v>0</v>
      </c>
      <c r="I257" s="479"/>
      <c r="J257" s="327"/>
      <c r="K257" s="327"/>
      <c r="L257" s="327"/>
      <c r="M257" s="327"/>
      <c r="N257" s="327"/>
      <c r="O257" s="327"/>
      <c r="P257" s="327"/>
      <c r="Q257" s="327"/>
      <c r="R257" s="327"/>
      <c r="S257" s="30"/>
      <c r="T257" s="44">
        <f t="shared" si="48"/>
        <v>48</v>
      </c>
      <c r="U257" s="44"/>
    </row>
    <row r="258" spans="1:21" ht="13.5" customHeight="1">
      <c r="A258" s="30"/>
      <c r="B258" s="44"/>
      <c r="C258" s="203"/>
      <c r="D258" s="197" t="s">
        <v>75</v>
      </c>
      <c r="E258" s="480">
        <f>ROUND(E257*H257,2)</f>
        <v>0</v>
      </c>
      <c r="F258" s="480"/>
      <c r="G258" s="30" t="s">
        <v>76</v>
      </c>
      <c r="H258" s="199"/>
      <c r="I258" s="197"/>
      <c r="J258" s="197"/>
      <c r="K258" s="197"/>
      <c r="L258" s="197"/>
      <c r="M258" s="197"/>
      <c r="N258" s="197"/>
      <c r="O258" s="197"/>
      <c r="P258" s="197"/>
      <c r="Q258" s="30"/>
      <c r="R258" s="30"/>
      <c r="S258" s="30"/>
      <c r="T258" s="44">
        <f t="shared" si="48"/>
        <v>49</v>
      </c>
      <c r="U258" s="44"/>
    </row>
    <row r="259" spans="1:21" ht="13.5" customHeight="1">
      <c r="A259" s="30"/>
      <c r="B259" s="30"/>
      <c r="C259" s="30"/>
      <c r="D259" s="30"/>
      <c r="E259" s="30"/>
      <c r="F259" s="30"/>
      <c r="G259" s="30"/>
      <c r="H259" s="30"/>
      <c r="I259" s="30"/>
      <c r="J259" s="30"/>
      <c r="K259" s="30"/>
      <c r="L259" s="30"/>
      <c r="M259" s="30"/>
      <c r="N259" s="30"/>
      <c r="O259" s="30"/>
      <c r="P259" s="30"/>
      <c r="Q259" s="30"/>
      <c r="R259" s="30"/>
      <c r="S259" s="30"/>
      <c r="T259" s="44">
        <f t="shared" si="48"/>
        <v>50</v>
      </c>
      <c r="U259" s="44"/>
    </row>
    <row r="260" spans="1:21" ht="13.5" customHeight="1">
      <c r="A260" s="134" t="s">
        <v>478</v>
      </c>
      <c r="B260" s="30"/>
      <c r="C260" s="30"/>
      <c r="D260" s="30"/>
      <c r="E260" s="30"/>
      <c r="F260" s="30"/>
      <c r="G260" s="30"/>
      <c r="H260" s="30"/>
      <c r="I260" s="30"/>
      <c r="J260" s="30"/>
      <c r="K260" s="30"/>
      <c r="L260" s="30"/>
      <c r="M260" s="30"/>
      <c r="N260" s="30"/>
      <c r="O260" s="30"/>
      <c r="P260" s="30"/>
      <c r="Q260" s="30"/>
      <c r="R260" s="30"/>
      <c r="S260" s="30"/>
      <c r="T260" s="44">
        <f t="shared" si="48"/>
        <v>51</v>
      </c>
      <c r="U260" s="44"/>
    </row>
    <row r="261" spans="1:21" ht="13.5" customHeight="1">
      <c r="A261" s="30"/>
      <c r="B261" s="30"/>
      <c r="C261" s="203" t="s">
        <v>86</v>
      </c>
      <c r="D261" s="203" t="s">
        <v>75</v>
      </c>
      <c r="E261" s="481" t="e">
        <f>ROUND($E$252,2)</f>
        <v>#VALUE!</v>
      </c>
      <c r="F261" s="482"/>
      <c r="G261" s="92" t="s">
        <v>135</v>
      </c>
      <c r="H261" s="481">
        <f>E258</f>
        <v>0</v>
      </c>
      <c r="I261" s="482"/>
      <c r="J261" s="327"/>
      <c r="K261" s="327"/>
      <c r="L261" s="327"/>
      <c r="M261" s="327"/>
      <c r="N261" s="327"/>
      <c r="O261" s="327"/>
      <c r="P261" s="327"/>
      <c r="Q261" s="327"/>
      <c r="R261" s="327"/>
      <c r="S261" s="44"/>
      <c r="T261" s="44">
        <f t="shared" si="48"/>
        <v>52</v>
      </c>
      <c r="U261" s="44"/>
    </row>
    <row r="262" spans="1:21" ht="13.5" customHeight="1">
      <c r="A262" s="30"/>
      <c r="B262" s="30"/>
      <c r="C262" s="30"/>
      <c r="D262" s="196" t="s">
        <v>75</v>
      </c>
      <c r="E262" s="435" t="e">
        <f>E261+H261</f>
        <v>#VALUE!</v>
      </c>
      <c r="F262" s="435"/>
      <c r="G262" s="30" t="s">
        <v>76</v>
      </c>
      <c r="H262" s="80" t="e">
        <f>"（ｈａ当り "&amp;ROUND(E262/($G$15/10000),0)&amp;" m3)"</f>
        <v>#VALUE!</v>
      </c>
      <c r="I262" s="80"/>
      <c r="J262" s="80"/>
      <c r="K262" s="80"/>
      <c r="L262" s="80"/>
      <c r="M262" s="80"/>
      <c r="N262" s="30"/>
      <c r="O262" s="30"/>
      <c r="P262" s="30"/>
      <c r="Q262" s="30"/>
      <c r="R262" s="30"/>
      <c r="S262" s="30"/>
      <c r="T262" s="44">
        <f t="shared" si="48"/>
        <v>53</v>
      </c>
      <c r="U262" s="44"/>
    </row>
    <row r="263" spans="1:21" ht="13.5" customHeight="1">
      <c r="A263" s="82"/>
      <c r="B263" s="82"/>
      <c r="C263" s="82"/>
      <c r="D263" s="82"/>
      <c r="E263" s="82"/>
      <c r="F263" s="82"/>
      <c r="G263" s="82"/>
      <c r="H263" s="82"/>
      <c r="I263" s="80"/>
      <c r="J263" s="80"/>
      <c r="K263" s="80"/>
      <c r="L263" s="80"/>
      <c r="M263" s="80"/>
      <c r="N263" s="80"/>
      <c r="O263" s="82"/>
      <c r="P263" s="82"/>
      <c r="Q263" s="82"/>
      <c r="R263" s="82"/>
      <c r="S263" s="82"/>
      <c r="T263" s="44">
        <f t="shared" si="48"/>
        <v>54</v>
      </c>
      <c r="U263" s="44"/>
    </row>
    <row r="264" spans="1:21" ht="13.5" customHeight="1">
      <c r="A264" s="134" t="s">
        <v>479</v>
      </c>
      <c r="B264" s="30"/>
      <c r="C264" s="30"/>
      <c r="D264" s="30"/>
      <c r="E264" s="30"/>
      <c r="F264" s="30"/>
      <c r="G264" s="30"/>
      <c r="H264" s="30"/>
      <c r="I264" s="30"/>
      <c r="J264" s="30"/>
      <c r="K264" s="30"/>
      <c r="L264" s="30"/>
      <c r="M264" s="30"/>
      <c r="N264" s="30"/>
      <c r="O264" s="30"/>
      <c r="P264" s="30"/>
      <c r="Q264" s="30"/>
      <c r="R264" s="30"/>
      <c r="S264" s="30"/>
      <c r="T264" s="44">
        <v>1</v>
      </c>
      <c r="U264" s="44"/>
    </row>
    <row r="265" spans="1:21" ht="14.25" customHeight="1">
      <c r="A265" s="327"/>
      <c r="B265" s="327"/>
      <c r="C265" s="942" t="s">
        <v>373</v>
      </c>
      <c r="D265" s="943"/>
      <c r="E265" s="943"/>
      <c r="F265" s="943"/>
      <c r="G265" s="943"/>
      <c r="H265" s="527" t="s">
        <v>707</v>
      </c>
      <c r="I265" s="529"/>
      <c r="J265" s="527" t="s">
        <v>708</v>
      </c>
      <c r="K265" s="529"/>
      <c r="L265" s="527" t="s">
        <v>709</v>
      </c>
      <c r="M265" s="529"/>
      <c r="N265" s="527" t="s">
        <v>710</v>
      </c>
      <c r="O265" s="529"/>
      <c r="P265" s="813" t="s">
        <v>711</v>
      </c>
      <c r="Q265" s="815"/>
      <c r="R265" s="942" t="s">
        <v>712</v>
      </c>
      <c r="S265" s="944"/>
      <c r="T265" s="44">
        <f t="shared" si="48"/>
        <v>2</v>
      </c>
      <c r="U265" s="44"/>
    </row>
    <row r="266" spans="1:21" ht="14.25" customHeight="1">
      <c r="A266" s="327"/>
      <c r="B266" s="327"/>
      <c r="C266" s="945"/>
      <c r="D266" s="455"/>
      <c r="E266" s="455"/>
      <c r="F266" s="455"/>
      <c r="G266" s="455"/>
      <c r="H266" s="530"/>
      <c r="I266" s="532"/>
      <c r="J266" s="530"/>
      <c r="K266" s="532"/>
      <c r="L266" s="530"/>
      <c r="M266" s="532"/>
      <c r="N266" s="530"/>
      <c r="O266" s="532"/>
      <c r="P266" s="808"/>
      <c r="Q266" s="809"/>
      <c r="R266" s="945"/>
      <c r="S266" s="946"/>
      <c r="T266" s="44">
        <f t="shared" si="48"/>
        <v>3</v>
      </c>
      <c r="U266" s="44"/>
    </row>
    <row r="267" spans="1:21" ht="14.25" customHeight="1">
      <c r="A267" s="327"/>
      <c r="B267" s="327"/>
      <c r="C267" s="936" t="str">
        <f>"1 "&amp;$D$32</f>
        <v>1 矩形ます(側面・底面浸透)</v>
      </c>
      <c r="D267" s="937"/>
      <c r="E267" s="937"/>
      <c r="F267" s="937"/>
      <c r="G267" s="937"/>
      <c r="H267" s="516">
        <f>$I$32</f>
        <v>0</v>
      </c>
      <c r="I267" s="518"/>
      <c r="J267" s="516">
        <f>$K$32</f>
        <v>0</v>
      </c>
      <c r="K267" s="518"/>
      <c r="L267" s="516" t="str">
        <f>$M$32</f>
        <v>-</v>
      </c>
      <c r="M267" s="518"/>
      <c r="N267" s="516">
        <f>$O$32</f>
        <v>0</v>
      </c>
      <c r="O267" s="518"/>
      <c r="P267" s="817">
        <f>$Q$32</f>
        <v>1</v>
      </c>
      <c r="Q267" s="819"/>
      <c r="R267" s="949">
        <f>ROUND(H267*J267*N267*L284*P267,2)</f>
        <v>0</v>
      </c>
      <c r="S267" s="950"/>
      <c r="T267" s="44">
        <f t="shared" si="48"/>
        <v>4</v>
      </c>
      <c r="U267" s="44"/>
    </row>
    <row r="268" spans="1:21" ht="14.25" customHeight="1">
      <c r="A268" s="327"/>
      <c r="B268" s="327"/>
      <c r="C268" s="936" t="str">
        <f>"2 "&amp;$D$33</f>
        <v>2 浸透トレンチ</v>
      </c>
      <c r="D268" s="937"/>
      <c r="E268" s="937"/>
      <c r="F268" s="937"/>
      <c r="G268" s="937"/>
      <c r="H268" s="516">
        <f>$I$33</f>
        <v>0.6</v>
      </c>
      <c r="I268" s="518"/>
      <c r="J268" s="516">
        <f>$K$33</f>
        <v>0.45</v>
      </c>
      <c r="K268" s="518"/>
      <c r="L268" s="516">
        <f>$M$33</f>
        <v>0.15</v>
      </c>
      <c r="M268" s="518"/>
      <c r="N268" s="516">
        <f>$O$33</f>
        <v>0</v>
      </c>
      <c r="O268" s="518"/>
      <c r="P268" s="817">
        <f>$Q$33</f>
        <v>1</v>
      </c>
      <c r="Q268" s="819"/>
      <c r="R268" s="949">
        <f>ROUND((H268*J268*L285+(1-L285)*(L268^2*PI()/4))*N268*P268,2)</f>
        <v>0</v>
      </c>
      <c r="S268" s="950"/>
      <c r="T268" s="44">
        <f t="shared" si="48"/>
        <v>5</v>
      </c>
      <c r="U268" s="327"/>
    </row>
    <row r="269" spans="1:21" ht="14.25" customHeight="1">
      <c r="A269" s="327"/>
      <c r="B269" s="327"/>
      <c r="C269" s="936" t="str">
        <f>"3 "&amp;$D$34</f>
        <v>3 正方形ます(側面・底面浸透)</v>
      </c>
      <c r="D269" s="937"/>
      <c r="E269" s="937"/>
      <c r="F269" s="937"/>
      <c r="G269" s="937"/>
      <c r="H269" s="516">
        <f>$I$34</f>
        <v>0.7</v>
      </c>
      <c r="I269" s="518"/>
      <c r="J269" s="516">
        <f>$K$34</f>
        <v>0.7</v>
      </c>
      <c r="K269" s="518"/>
      <c r="L269" s="516">
        <f>$M$34</f>
        <v>0.3</v>
      </c>
      <c r="M269" s="518"/>
      <c r="N269" s="516" t="str">
        <f>$O$34</f>
        <v>-</v>
      </c>
      <c r="O269" s="518"/>
      <c r="P269" s="817">
        <f>$Q$34</f>
        <v>0</v>
      </c>
      <c r="Q269" s="819"/>
      <c r="R269" s="949">
        <f>ROUND((H269*J269^2*L285+(1-L285)*L269^2*PI()/4*(H269-0.15))*P269,2)</f>
        <v>0</v>
      </c>
      <c r="S269" s="950"/>
      <c r="T269" s="44">
        <f t="shared" si="48"/>
        <v>6</v>
      </c>
      <c r="U269" s="327"/>
    </row>
    <row r="270" spans="1:21" ht="13.5" customHeight="1">
      <c r="A270" s="134"/>
      <c r="B270" s="30"/>
      <c r="C270" s="30"/>
      <c r="D270" s="30"/>
      <c r="E270" s="30"/>
      <c r="F270" s="30"/>
      <c r="G270" s="30"/>
      <c r="H270" s="30"/>
      <c r="I270" s="30"/>
      <c r="J270" s="30"/>
      <c r="K270" s="30"/>
      <c r="L270" s="30"/>
      <c r="M270" s="30"/>
      <c r="N270" s="30"/>
      <c r="O270" s="30"/>
      <c r="P270" s="30"/>
      <c r="Q270" s="30"/>
      <c r="R270" s="30"/>
      <c r="S270" s="30"/>
      <c r="T270" s="44">
        <f t="shared" si="48"/>
        <v>7</v>
      </c>
      <c r="U270" s="44"/>
    </row>
    <row r="271" spans="1:21" ht="14.25" customHeight="1">
      <c r="A271" s="327"/>
      <c r="B271" s="327"/>
      <c r="C271" s="50" t="s">
        <v>713</v>
      </c>
      <c r="D271" s="396"/>
      <c r="E271" s="396"/>
      <c r="F271" s="396"/>
      <c r="G271" s="396"/>
      <c r="H271" s="327"/>
      <c r="I271" s="327"/>
      <c r="J271" s="327"/>
      <c r="K271" s="327"/>
      <c r="L271" s="327"/>
      <c r="M271" s="327"/>
      <c r="N271" s="327"/>
      <c r="O271" s="327"/>
      <c r="P271" s="327"/>
      <c r="Q271" s="327"/>
      <c r="R271" s="327"/>
      <c r="S271" s="327"/>
      <c r="T271" s="44">
        <f t="shared" si="48"/>
        <v>8</v>
      </c>
      <c r="U271" s="327"/>
    </row>
    <row r="272" spans="1:21" ht="14.25" customHeight="1">
      <c r="A272" s="327"/>
      <c r="B272" s="327"/>
      <c r="C272" s="30"/>
      <c r="D272" s="30"/>
      <c r="E272" s="30"/>
      <c r="F272" s="30"/>
      <c r="G272" s="30"/>
      <c r="H272" s="30"/>
      <c r="I272" s="30"/>
      <c r="J272" s="30"/>
      <c r="K272" s="30"/>
      <c r="L272" s="30"/>
      <c r="M272" s="30"/>
      <c r="N272" s="397"/>
      <c r="O272" s="398"/>
      <c r="P272" s="335"/>
      <c r="Q272" s="327"/>
      <c r="R272" s="327"/>
      <c r="S272" s="327"/>
      <c r="T272" s="44">
        <f t="shared" si="48"/>
        <v>9</v>
      </c>
      <c r="U272" s="327"/>
    </row>
    <row r="273" spans="1:21" ht="14.25" customHeight="1">
      <c r="A273" s="327"/>
      <c r="B273" s="327"/>
      <c r="C273" s="327"/>
      <c r="D273" s="327"/>
      <c r="E273" s="327"/>
      <c r="F273" s="327"/>
      <c r="G273" s="327"/>
      <c r="H273" s="327"/>
      <c r="I273" s="327"/>
      <c r="J273" s="327"/>
      <c r="K273" s="327"/>
      <c r="L273" s="327"/>
      <c r="M273" s="327"/>
      <c r="N273" s="327"/>
      <c r="O273" s="327"/>
      <c r="P273" s="327"/>
      <c r="Q273" s="327"/>
      <c r="R273" s="327"/>
      <c r="S273" s="327"/>
      <c r="T273" s="44">
        <f t="shared" si="48"/>
        <v>10</v>
      </c>
      <c r="U273" s="327"/>
    </row>
    <row r="274" spans="1:21" ht="14.25" customHeight="1">
      <c r="A274" s="327"/>
      <c r="B274" s="327"/>
      <c r="C274" s="50" t="s">
        <v>717</v>
      </c>
      <c r="D274" s="396"/>
      <c r="E274" s="396"/>
      <c r="F274" s="396"/>
      <c r="G274" s="396"/>
      <c r="H274" s="327"/>
      <c r="I274" s="327"/>
      <c r="J274" s="327"/>
      <c r="K274" s="327"/>
      <c r="L274" s="327"/>
      <c r="M274" s="327"/>
      <c r="N274" s="327"/>
      <c r="O274" s="327"/>
      <c r="P274" s="327"/>
      <c r="Q274" s="327"/>
      <c r="R274" s="327"/>
      <c r="S274" s="327"/>
      <c r="T274" s="44">
        <f t="shared" si="48"/>
        <v>11</v>
      </c>
      <c r="U274" s="327"/>
    </row>
    <row r="275" spans="1:21" ht="14.25" customHeight="1">
      <c r="A275" s="327"/>
      <c r="B275" s="327"/>
      <c r="C275" s="396"/>
      <c r="D275" s="405"/>
      <c r="E275" s="396"/>
      <c r="F275" s="396"/>
      <c r="G275" s="396"/>
      <c r="H275" s="396"/>
      <c r="I275" s="398"/>
      <c r="J275" s="406"/>
      <c r="K275" s="396"/>
      <c r="L275" s="398"/>
      <c r="M275" s="398"/>
      <c r="N275" s="396"/>
      <c r="O275" s="327"/>
      <c r="P275" s="327"/>
      <c r="Q275" s="327"/>
      <c r="R275" s="327"/>
      <c r="S275" s="327"/>
      <c r="T275" s="44">
        <f t="shared" si="48"/>
        <v>12</v>
      </c>
      <c r="U275" s="327"/>
    </row>
    <row r="276" spans="1:21" ht="14.25" customHeight="1">
      <c r="A276" s="327"/>
      <c r="B276" s="327"/>
      <c r="C276" s="327"/>
      <c r="D276" s="335"/>
      <c r="E276" s="397"/>
      <c r="F276" s="407"/>
      <c r="G276" s="335"/>
      <c r="H276" s="335"/>
      <c r="I276" s="335"/>
      <c r="J276" s="335"/>
      <c r="K276" s="335"/>
      <c r="L276" s="335"/>
      <c r="M276" s="396"/>
      <c r="N276" s="335"/>
      <c r="O276" s="335"/>
      <c r="P276" s="335"/>
      <c r="Q276" s="335"/>
      <c r="R276" s="335"/>
      <c r="S276" s="335"/>
      <c r="T276" s="44">
        <f t="shared" si="48"/>
        <v>13</v>
      </c>
      <c r="U276" s="327"/>
    </row>
    <row r="277" spans="1:21" ht="14.25" customHeight="1">
      <c r="A277" s="327"/>
      <c r="B277" s="327"/>
      <c r="C277" s="327" t="s">
        <v>719</v>
      </c>
      <c r="D277" s="327"/>
      <c r="E277" s="327"/>
      <c r="F277" s="327"/>
      <c r="G277" s="327"/>
      <c r="H277" s="327"/>
      <c r="I277" s="327"/>
      <c r="J277" s="327"/>
      <c r="K277" s="327"/>
      <c r="L277" s="327"/>
      <c r="M277" s="327"/>
      <c r="N277" s="327"/>
      <c r="O277" s="327"/>
      <c r="P277" s="327"/>
      <c r="Q277" s="327"/>
      <c r="R277" s="327"/>
      <c r="S277" s="327"/>
      <c r="T277" s="44">
        <f t="shared" si="48"/>
        <v>14</v>
      </c>
      <c r="U277" s="327"/>
    </row>
    <row r="278" spans="1:21" ht="14.25" customHeight="1">
      <c r="A278" s="327"/>
      <c r="B278" s="327"/>
      <c r="C278" s="396"/>
      <c r="D278" s="405"/>
      <c r="E278" s="396"/>
      <c r="F278" s="396"/>
      <c r="G278" s="396"/>
      <c r="H278" s="407"/>
      <c r="J278" s="409"/>
      <c r="K278" s="406"/>
      <c r="L278" s="396"/>
      <c r="M278" s="398"/>
      <c r="N278" s="398"/>
      <c r="O278" s="396"/>
      <c r="P278" s="327"/>
      <c r="Q278" s="327"/>
      <c r="R278" s="327"/>
      <c r="S278" s="327"/>
      <c r="T278" s="44">
        <f t="shared" si="48"/>
        <v>15</v>
      </c>
      <c r="U278" s="327"/>
    </row>
    <row r="279" spans="1:21" ht="14.25" customHeight="1">
      <c r="A279" s="327"/>
      <c r="B279" s="327"/>
      <c r="C279" s="396"/>
      <c r="D279" s="405"/>
      <c r="E279" s="397"/>
      <c r="F279" s="407"/>
      <c r="G279" s="335"/>
      <c r="H279" s="335"/>
      <c r="I279" s="335"/>
      <c r="J279" s="335"/>
      <c r="K279" s="335"/>
      <c r="L279" s="396"/>
      <c r="M279" s="335"/>
      <c r="N279" s="327"/>
      <c r="O279" s="335"/>
      <c r="P279" s="335"/>
      <c r="Q279" s="408"/>
      <c r="R279" s="335"/>
      <c r="S279" s="335"/>
      <c r="T279" s="44">
        <f t="shared" si="48"/>
        <v>16</v>
      </c>
      <c r="U279" s="327"/>
    </row>
    <row r="280" spans="1:21" ht="14.25" customHeight="1">
      <c r="A280" s="327"/>
      <c r="B280" s="327"/>
      <c r="C280" s="44" t="s">
        <v>100</v>
      </c>
      <c r="D280" s="46"/>
      <c r="E280" s="396" t="s">
        <v>714</v>
      </c>
      <c r="F280" s="399" t="s">
        <v>102</v>
      </c>
      <c r="G280" s="30" t="s">
        <v>720</v>
      </c>
      <c r="H280" s="327"/>
      <c r="I280" s="327"/>
      <c r="J280" s="327"/>
      <c r="K280" s="327"/>
      <c r="L280" s="327"/>
      <c r="M280" s="327"/>
      <c r="N280" s="327"/>
      <c r="O280" s="327"/>
      <c r="P280" s="327"/>
      <c r="Q280" s="327"/>
      <c r="R280" s="327"/>
      <c r="S280" s="327"/>
      <c r="T280" s="44">
        <f t="shared" si="48"/>
        <v>17</v>
      </c>
      <c r="U280" s="327"/>
    </row>
    <row r="281" spans="1:21" ht="14.25" customHeight="1">
      <c r="A281" s="327"/>
      <c r="B281" s="327"/>
      <c r="C281" s="44"/>
      <c r="D281" s="46"/>
      <c r="E281" s="396" t="s">
        <v>715</v>
      </c>
      <c r="F281" s="399" t="s">
        <v>102</v>
      </c>
      <c r="G281" s="30" t="s">
        <v>721</v>
      </c>
      <c r="H281" s="327"/>
      <c r="I281" s="327"/>
      <c r="J281" s="327"/>
      <c r="K281" s="327"/>
      <c r="L281" s="327"/>
      <c r="M281" s="327"/>
      <c r="N281" s="327"/>
      <c r="O281" s="327"/>
      <c r="P281" s="327"/>
      <c r="Q281" s="327"/>
      <c r="R281" s="327"/>
      <c r="S281" s="327"/>
      <c r="T281" s="44">
        <f t="shared" si="48"/>
        <v>18</v>
      </c>
      <c r="U281" s="327"/>
    </row>
    <row r="282" spans="1:21" ht="14.25" customHeight="1">
      <c r="A282" s="327"/>
      <c r="B282" s="327"/>
      <c r="C282" s="327"/>
      <c r="D282" s="327"/>
      <c r="E282" s="397" t="s">
        <v>718</v>
      </c>
      <c r="F282" s="399" t="s">
        <v>102</v>
      </c>
      <c r="G282" s="327" t="s">
        <v>722</v>
      </c>
      <c r="H282" s="327"/>
      <c r="I282" s="327"/>
      <c r="J282" s="327"/>
      <c r="K282" s="327"/>
      <c r="L282" s="327"/>
      <c r="M282" s="327"/>
      <c r="N282" s="327"/>
      <c r="O282" s="327"/>
      <c r="P282" s="327"/>
      <c r="Q282" s="327"/>
      <c r="R282" s="327"/>
      <c r="S282" s="327"/>
      <c r="T282" s="44">
        <f t="shared" si="48"/>
        <v>19</v>
      </c>
      <c r="U282" s="327"/>
    </row>
    <row r="283" spans="1:21" ht="14.25" customHeight="1">
      <c r="A283" s="327"/>
      <c r="B283" s="327"/>
      <c r="C283" s="327"/>
      <c r="D283" s="327"/>
      <c r="E283" s="397" t="s">
        <v>201</v>
      </c>
      <c r="F283" s="399" t="s">
        <v>102</v>
      </c>
      <c r="G283" s="327" t="s">
        <v>723</v>
      </c>
      <c r="H283" s="327"/>
      <c r="I283" s="327"/>
      <c r="J283" s="327"/>
      <c r="K283" s="327"/>
      <c r="L283" s="327"/>
      <c r="M283" s="327"/>
      <c r="N283" s="327"/>
      <c r="O283" s="327"/>
      <c r="P283" s="327"/>
      <c r="Q283" s="327"/>
      <c r="R283" s="327"/>
      <c r="S283" s="327"/>
      <c r="T283" s="44">
        <f t="shared" si="48"/>
        <v>20</v>
      </c>
      <c r="U283" s="327"/>
    </row>
    <row r="284" spans="1:21" ht="14.25" customHeight="1">
      <c r="A284" s="327"/>
      <c r="B284" s="327"/>
      <c r="C284" s="327"/>
      <c r="D284" s="327"/>
      <c r="E284" s="398" t="s">
        <v>202</v>
      </c>
      <c r="F284" s="399" t="s">
        <v>102</v>
      </c>
      <c r="G284" s="327" t="s">
        <v>724</v>
      </c>
      <c r="H284" s="327"/>
      <c r="I284" s="327"/>
      <c r="J284" s="327"/>
      <c r="K284" s="327" t="s">
        <v>725</v>
      </c>
      <c r="L284" s="951">
        <f>$K$24</f>
        <v>0.9</v>
      </c>
      <c r="M284" s="951"/>
      <c r="N284" s="327"/>
      <c r="O284" s="327"/>
      <c r="P284" s="327"/>
      <c r="Q284" s="327"/>
      <c r="R284" s="327"/>
      <c r="S284" s="327"/>
      <c r="T284" s="44">
        <f t="shared" si="48"/>
        <v>21</v>
      </c>
      <c r="U284" s="327"/>
    </row>
    <row r="285" spans="1:21" ht="14.25" customHeight="1">
      <c r="A285" s="327"/>
      <c r="B285" s="327"/>
      <c r="C285" s="327"/>
      <c r="D285" s="327"/>
      <c r="E285" s="398"/>
      <c r="F285" s="399"/>
      <c r="G285" s="327" t="s">
        <v>726</v>
      </c>
      <c r="H285" s="327"/>
      <c r="I285" s="327"/>
      <c r="J285" s="327"/>
      <c r="K285" s="327" t="s">
        <v>725</v>
      </c>
      <c r="L285" s="951">
        <f>$K$25</f>
        <v>0.3</v>
      </c>
      <c r="M285" s="951"/>
      <c r="N285" s="327"/>
      <c r="O285" s="327"/>
      <c r="P285" s="327"/>
      <c r="Q285" s="327"/>
      <c r="R285" s="327"/>
      <c r="S285" s="327"/>
      <c r="T285" s="44">
        <f t="shared" si="48"/>
        <v>22</v>
      </c>
      <c r="U285" s="327"/>
    </row>
    <row r="286" spans="1:21" ht="14.25" customHeight="1">
      <c r="A286" s="327"/>
      <c r="B286" s="327"/>
      <c r="C286" s="327"/>
      <c r="D286" s="327"/>
      <c r="E286" s="397" t="s">
        <v>716</v>
      </c>
      <c r="F286" s="399" t="s">
        <v>102</v>
      </c>
      <c r="G286" s="327" t="s">
        <v>727</v>
      </c>
      <c r="H286" s="327"/>
      <c r="I286" s="327"/>
      <c r="J286" s="327"/>
      <c r="K286" s="327"/>
      <c r="L286" s="327"/>
      <c r="M286" s="327"/>
      <c r="N286" s="327"/>
      <c r="O286" s="327"/>
      <c r="P286" s="327"/>
      <c r="Q286" s="327"/>
      <c r="R286" s="327"/>
      <c r="S286" s="327"/>
      <c r="T286" s="44">
        <f t="shared" si="48"/>
        <v>23</v>
      </c>
      <c r="U286" s="327"/>
    </row>
    <row r="287" spans="1:21" ht="14.25" customHeight="1">
      <c r="A287" s="327"/>
      <c r="B287" s="327"/>
      <c r="C287" s="327"/>
      <c r="D287" s="327"/>
      <c r="E287" s="397"/>
      <c r="F287" s="399"/>
      <c r="G287" s="327"/>
      <c r="H287" s="327"/>
      <c r="I287" s="327"/>
      <c r="J287" s="327"/>
      <c r="K287" s="327"/>
      <c r="L287" s="327"/>
      <c r="M287" s="327"/>
      <c r="N287" s="327"/>
      <c r="O287" s="327"/>
      <c r="P287" s="327"/>
      <c r="Q287" s="327"/>
      <c r="R287" s="327"/>
      <c r="S287" s="327"/>
      <c r="T287" s="44">
        <f t="shared" si="48"/>
        <v>24</v>
      </c>
      <c r="U287" s="327"/>
    </row>
    <row r="288" spans="1:21" ht="13.5" customHeight="1">
      <c r="A288" s="30"/>
      <c r="B288" s="30"/>
      <c r="C288" s="203" t="s">
        <v>101</v>
      </c>
      <c r="D288" s="196" t="s">
        <v>75</v>
      </c>
      <c r="E288" s="435">
        <f>SUM(R267:S269)</f>
        <v>0</v>
      </c>
      <c r="F288" s="435"/>
      <c r="G288" s="30" t="s">
        <v>76</v>
      </c>
      <c r="H288" s="228" t="e">
        <f>IF(E288&gt;=E262,"ＯＫ","ＮＧ")</f>
        <v>#VALUE!</v>
      </c>
      <c r="I288" s="80"/>
      <c r="J288" s="80"/>
      <c r="K288" s="80"/>
      <c r="L288" s="80"/>
      <c r="M288" s="80"/>
      <c r="N288" s="30"/>
      <c r="O288" s="30"/>
      <c r="P288" s="30"/>
      <c r="Q288" s="30"/>
      <c r="R288" s="30"/>
      <c r="S288" s="30"/>
      <c r="T288" s="44">
        <f t="shared" si="48"/>
        <v>25</v>
      </c>
      <c r="U288" s="44"/>
    </row>
    <row r="289" spans="1:21" ht="13.5" customHeight="1">
      <c r="A289" s="44"/>
      <c r="B289" s="44"/>
      <c r="C289" s="44"/>
      <c r="D289" s="46"/>
      <c r="E289" s="47"/>
      <c r="F289" s="202"/>
      <c r="G289" s="30"/>
      <c r="H289" s="44"/>
      <c r="I289" s="44"/>
      <c r="J289" s="44"/>
      <c r="K289" s="44"/>
      <c r="L289" s="44"/>
      <c r="M289" s="44"/>
      <c r="N289" s="44"/>
      <c r="O289" s="44"/>
      <c r="P289" s="44"/>
      <c r="Q289" s="44"/>
      <c r="R289" s="44"/>
      <c r="S289" s="44"/>
      <c r="T289" s="44">
        <f t="shared" si="48"/>
        <v>26</v>
      </c>
      <c r="U289" s="44"/>
    </row>
    <row r="290" spans="1:21" ht="13.5" customHeight="1">
      <c r="A290" s="44"/>
      <c r="B290" s="44"/>
      <c r="C290" s="44"/>
      <c r="D290" s="44"/>
      <c r="E290" s="44"/>
      <c r="F290" s="44"/>
      <c r="G290" s="44"/>
      <c r="H290" s="44"/>
      <c r="I290" s="44"/>
      <c r="J290" s="44"/>
      <c r="K290" s="44"/>
      <c r="L290" s="44"/>
      <c r="M290" s="44"/>
      <c r="N290" s="44"/>
      <c r="O290" s="44"/>
      <c r="P290" s="44"/>
      <c r="Q290" s="44"/>
      <c r="R290" s="44"/>
      <c r="S290" s="44"/>
      <c r="T290" s="44">
        <f t="shared" si="48"/>
        <v>27</v>
      </c>
      <c r="U290" s="44"/>
    </row>
    <row r="291" spans="1:21" ht="13.5" customHeight="1">
      <c r="A291" s="44"/>
      <c r="B291" s="44"/>
      <c r="C291" s="44"/>
      <c r="D291" s="44"/>
      <c r="E291" s="44"/>
      <c r="F291" s="44"/>
      <c r="G291" s="44"/>
      <c r="H291" s="44"/>
      <c r="I291" s="44"/>
      <c r="J291" s="44"/>
      <c r="K291" s="44"/>
      <c r="L291" s="44"/>
      <c r="M291" s="44"/>
      <c r="N291" s="44"/>
      <c r="O291" s="44"/>
      <c r="P291" s="44"/>
      <c r="Q291" s="44"/>
      <c r="R291" s="44"/>
      <c r="S291" s="44"/>
      <c r="T291" s="44"/>
      <c r="U291" s="44"/>
    </row>
    <row r="292" spans="1:21" ht="13.5" customHeight="1">
      <c r="U292" s="44"/>
    </row>
    <row r="293" spans="1:21" ht="13.5" customHeight="1">
      <c r="U293" s="44"/>
    </row>
    <row r="294" spans="1:21" ht="13.5" customHeight="1">
      <c r="U294" s="44"/>
    </row>
  </sheetData>
  <sheetProtection algorithmName="SHA-512" hashValue="r4X+nhjIPjObfxBFMzamUOKj0FVMa/kfsrPTtv7ySIYfIKhvTh6QWGLVk/5YV9gLM8WP7SeJamYZJ+1Wa8WYJw==" saltValue="8Q+vglAou4BgvQ0agjBQlw==" spinCount="100000" sheet="1" objects="1" scenarios="1" selectLockedCells="1"/>
  <mergeCells count="605">
    <mergeCell ref="H6:R6"/>
    <mergeCell ref="H53:R53"/>
    <mergeCell ref="BA33:BB33"/>
    <mergeCell ref="BC33:BD33"/>
    <mergeCell ref="BE33:BF33"/>
    <mergeCell ref="AT33:AU33"/>
    <mergeCell ref="AV33:AW33"/>
    <mergeCell ref="AX33:AY33"/>
    <mergeCell ref="AV31:AW31"/>
    <mergeCell ref="AX31:AY31"/>
    <mergeCell ref="AT32:AU32"/>
    <mergeCell ref="AV32:AW32"/>
    <mergeCell ref="AX32:AY32"/>
    <mergeCell ref="BA31:BB31"/>
    <mergeCell ref="BC31:BD31"/>
    <mergeCell ref="BE31:BF31"/>
    <mergeCell ref="BA32:BB32"/>
    <mergeCell ref="BC32:BD32"/>
    <mergeCell ref="BE32:BF32"/>
    <mergeCell ref="AT31:AU31"/>
    <mergeCell ref="AR44:AS44"/>
    <mergeCell ref="AX44:AY44"/>
    <mergeCell ref="AX29:AY29"/>
    <mergeCell ref="BA29:BB29"/>
    <mergeCell ref="P269:Q269"/>
    <mergeCell ref="R269:S269"/>
    <mergeCell ref="L284:M284"/>
    <mergeCell ref="L285:M285"/>
    <mergeCell ref="P267:Q267"/>
    <mergeCell ref="R267:S267"/>
    <mergeCell ref="C268:G268"/>
    <mergeCell ref="H268:I268"/>
    <mergeCell ref="J268:K268"/>
    <mergeCell ref="L268:M268"/>
    <mergeCell ref="N268:O268"/>
    <mergeCell ref="P268:Q268"/>
    <mergeCell ref="R268:S268"/>
    <mergeCell ref="C209:F209"/>
    <mergeCell ref="G209:L209"/>
    <mergeCell ref="M209:R209"/>
    <mergeCell ref="C265:G266"/>
    <mergeCell ref="H265:I266"/>
    <mergeCell ref="J265:K266"/>
    <mergeCell ref="L265:M266"/>
    <mergeCell ref="N265:O266"/>
    <mergeCell ref="P265:Q266"/>
    <mergeCell ref="R265:S266"/>
    <mergeCell ref="E262:F262"/>
    <mergeCell ref="E252:F252"/>
    <mergeCell ref="E257:F257"/>
    <mergeCell ref="H257:I257"/>
    <mergeCell ref="E258:F258"/>
    <mergeCell ref="E261:F261"/>
    <mergeCell ref="H261:I261"/>
    <mergeCell ref="D244:E244"/>
    <mergeCell ref="L250:R251"/>
    <mergeCell ref="L246:M247"/>
    <mergeCell ref="F240:G240"/>
    <mergeCell ref="K240:L240"/>
    <mergeCell ref="P240:R240"/>
    <mergeCell ref="C228:C229"/>
    <mergeCell ref="E162:F162"/>
    <mergeCell ref="C163:D163"/>
    <mergeCell ref="E163:F163"/>
    <mergeCell ref="G163:I163"/>
    <mergeCell ref="G160:I160"/>
    <mergeCell ref="M204:R204"/>
    <mergeCell ref="G205:R205"/>
    <mergeCell ref="C206:D208"/>
    <mergeCell ref="E206:F206"/>
    <mergeCell ref="G206:L206"/>
    <mergeCell ref="M206:R206"/>
    <mergeCell ref="E207:F207"/>
    <mergeCell ref="G207:L207"/>
    <mergeCell ref="M207:R207"/>
    <mergeCell ref="E208:F208"/>
    <mergeCell ref="G208:L208"/>
    <mergeCell ref="M208:R208"/>
    <mergeCell ref="C162:D162"/>
    <mergeCell ref="C164:D164"/>
    <mergeCell ref="G204:L204"/>
    <mergeCell ref="C198:F201"/>
    <mergeCell ref="C202:D203"/>
    <mergeCell ref="E202:F202"/>
    <mergeCell ref="G202:R202"/>
    <mergeCell ref="C157:H157"/>
    <mergeCell ref="I157:J157"/>
    <mergeCell ref="K157:L157"/>
    <mergeCell ref="M157:N157"/>
    <mergeCell ref="O157:P157"/>
    <mergeCell ref="Q157:R157"/>
    <mergeCell ref="C160:D160"/>
    <mergeCell ref="C161:D161"/>
    <mergeCell ref="E160:F160"/>
    <mergeCell ref="E161:F161"/>
    <mergeCell ref="J160:K160"/>
    <mergeCell ref="L160:M160"/>
    <mergeCell ref="N160:O160"/>
    <mergeCell ref="P160:R160"/>
    <mergeCell ref="P161:R161"/>
    <mergeCell ref="C156:H156"/>
    <mergeCell ref="I156:J156"/>
    <mergeCell ref="K156:L156"/>
    <mergeCell ref="M156:N156"/>
    <mergeCell ref="O156:P156"/>
    <mergeCell ref="Q156:R156"/>
    <mergeCell ref="B153:H154"/>
    <mergeCell ref="M155:N155"/>
    <mergeCell ref="C155:H155"/>
    <mergeCell ref="C148:C149"/>
    <mergeCell ref="D148:D149"/>
    <mergeCell ref="F148:H149"/>
    <mergeCell ref="I148:I149"/>
    <mergeCell ref="Q148:S149"/>
    <mergeCell ref="K155:L155"/>
    <mergeCell ref="O155:P155"/>
    <mergeCell ref="Q155:R155"/>
    <mergeCell ref="I153:J154"/>
    <mergeCell ref="K153:L154"/>
    <mergeCell ref="M153:N154"/>
    <mergeCell ref="O153:P154"/>
    <mergeCell ref="Q153:R154"/>
    <mergeCell ref="D57:F57"/>
    <mergeCell ref="G57:I57"/>
    <mergeCell ref="J57:K57"/>
    <mergeCell ref="L57:M57"/>
    <mergeCell ref="N57:R57"/>
    <mergeCell ref="D58:F58"/>
    <mergeCell ref="G58:I58"/>
    <mergeCell ref="K148:L149"/>
    <mergeCell ref="M148:P148"/>
    <mergeCell ref="E145:F145"/>
    <mergeCell ref="Q144:R144"/>
    <mergeCell ref="K133:M133"/>
    <mergeCell ref="N133:R133"/>
    <mergeCell ref="C134:E134"/>
    <mergeCell ref="F134:G134"/>
    <mergeCell ref="H134:J134"/>
    <mergeCell ref="K134:M134"/>
    <mergeCell ref="N134:R134"/>
    <mergeCell ref="C135:E135"/>
    <mergeCell ref="F135:G135"/>
    <mergeCell ref="C133:E133"/>
    <mergeCell ref="F133:G133"/>
    <mergeCell ref="H133:J133"/>
    <mergeCell ref="O149:P149"/>
    <mergeCell ref="D55:F55"/>
    <mergeCell ref="G55:I55"/>
    <mergeCell ref="J55:K55"/>
    <mergeCell ref="L55:M55"/>
    <mergeCell ref="N55:R55"/>
    <mergeCell ref="D56:F56"/>
    <mergeCell ref="G56:I56"/>
    <mergeCell ref="J56:K56"/>
    <mergeCell ref="L56:M56"/>
    <mergeCell ref="N56:R56"/>
    <mergeCell ref="BC29:BD29"/>
    <mergeCell ref="AP46:AQ46"/>
    <mergeCell ref="Q45:R45"/>
    <mergeCell ref="AL46:AM46"/>
    <mergeCell ref="AN46:AO46"/>
    <mergeCell ref="AR46:AS46"/>
    <mergeCell ref="AT46:AU46"/>
    <mergeCell ref="AV46:AW46"/>
    <mergeCell ref="AX46:AY46"/>
    <mergeCell ref="AZ46:BA46"/>
    <mergeCell ref="AX45:AY45"/>
    <mergeCell ref="AZ45:BA45"/>
    <mergeCell ref="AZ44:BA44"/>
    <mergeCell ref="AV43:AW43"/>
    <mergeCell ref="AX43:AY43"/>
    <mergeCell ref="AZ43:BA43"/>
    <mergeCell ref="AP43:AQ43"/>
    <mergeCell ref="AR43:AS43"/>
    <mergeCell ref="Q44:R44"/>
    <mergeCell ref="BA30:BB30"/>
    <mergeCell ref="AT44:AU44"/>
    <mergeCell ref="AV44:AW44"/>
    <mergeCell ref="AV30:AW30"/>
    <mergeCell ref="AS42:AT42"/>
    <mergeCell ref="AU50:AV50"/>
    <mergeCell ref="AV57:AW57"/>
    <mergeCell ref="AS59:AT59"/>
    <mergeCell ref="AO54:AP54"/>
    <mergeCell ref="AR54:AS54"/>
    <mergeCell ref="AU54:AV54"/>
    <mergeCell ref="H43:J43"/>
    <mergeCell ref="K43:M43"/>
    <mergeCell ref="N43:P43"/>
    <mergeCell ref="Q43:R43"/>
    <mergeCell ref="AL45:AM45"/>
    <mergeCell ref="AN45:AO45"/>
    <mergeCell ref="AP45:AQ45"/>
    <mergeCell ref="AR45:AS45"/>
    <mergeCell ref="AT45:AU45"/>
    <mergeCell ref="AV45:AW45"/>
    <mergeCell ref="H44:J44"/>
    <mergeCell ref="K44:M44"/>
    <mergeCell ref="N44:P44"/>
    <mergeCell ref="H45:J45"/>
    <mergeCell ref="K45:M45"/>
    <mergeCell ref="N45:P45"/>
    <mergeCell ref="BE30:BF30"/>
    <mergeCell ref="AT26:AU26"/>
    <mergeCell ref="AV26:AW26"/>
    <mergeCell ref="AX26:AY26"/>
    <mergeCell ref="BA26:BB26"/>
    <mergeCell ref="BC26:BD26"/>
    <mergeCell ref="BE26:BF26"/>
    <mergeCell ref="BE27:BF27"/>
    <mergeCell ref="BE28:BF28"/>
    <mergeCell ref="AV27:AW27"/>
    <mergeCell ref="AX27:AY27"/>
    <mergeCell ref="AV29:AW29"/>
    <mergeCell ref="AT28:AU28"/>
    <mergeCell ref="AV28:AW28"/>
    <mergeCell ref="AX28:AY28"/>
    <mergeCell ref="AX30:AY30"/>
    <mergeCell ref="AT27:AU27"/>
    <mergeCell ref="BC27:BD27"/>
    <mergeCell ref="BA28:BB28"/>
    <mergeCell ref="BC28:BD28"/>
    <mergeCell ref="BA27:BB27"/>
    <mergeCell ref="AT29:AU29"/>
    <mergeCell ref="BE29:BF29"/>
    <mergeCell ref="AT30:AU30"/>
    <mergeCell ref="E288:F288"/>
    <mergeCell ref="C267:G267"/>
    <mergeCell ref="H267:I267"/>
    <mergeCell ref="J267:K267"/>
    <mergeCell ref="L267:M267"/>
    <mergeCell ref="N267:O267"/>
    <mergeCell ref="C269:G269"/>
    <mergeCell ref="H269:I269"/>
    <mergeCell ref="J269:K269"/>
    <mergeCell ref="L269:M269"/>
    <mergeCell ref="N269:O269"/>
    <mergeCell ref="B246:B247"/>
    <mergeCell ref="C246:C247"/>
    <mergeCell ref="D246:H246"/>
    <mergeCell ref="C250:C251"/>
    <mergeCell ref="D250:D251"/>
    <mergeCell ref="E250:F251"/>
    <mergeCell ref="G250:G251"/>
    <mergeCell ref="H250:I250"/>
    <mergeCell ref="J250:K251"/>
    <mergeCell ref="H251:I251"/>
    <mergeCell ref="I246:I247"/>
    <mergeCell ref="J246:K247"/>
    <mergeCell ref="D247:E247"/>
    <mergeCell ref="G247:H247"/>
    <mergeCell ref="B242:B243"/>
    <mergeCell ref="C242:C243"/>
    <mergeCell ref="D242:D243"/>
    <mergeCell ref="E242:F242"/>
    <mergeCell ref="H242:I242"/>
    <mergeCell ref="K242:M242"/>
    <mergeCell ref="O242:Q242"/>
    <mergeCell ref="R242:R243"/>
    <mergeCell ref="E243:Q243"/>
    <mergeCell ref="S222:S223"/>
    <mergeCell ref="E213:F213"/>
    <mergeCell ref="J213:K213"/>
    <mergeCell ref="M213:N213"/>
    <mergeCell ref="P213:Q213"/>
    <mergeCell ref="I218:J218"/>
    <mergeCell ref="M218:N218"/>
    <mergeCell ref="Q218:R218"/>
    <mergeCell ref="J162:K162"/>
    <mergeCell ref="L162:M162"/>
    <mergeCell ref="N162:O162"/>
    <mergeCell ref="P162:R162"/>
    <mergeCell ref="G162:I162"/>
    <mergeCell ref="E164:F164"/>
    <mergeCell ref="G164:I164"/>
    <mergeCell ref="J164:K164"/>
    <mergeCell ref="L164:M164"/>
    <mergeCell ref="N164:O164"/>
    <mergeCell ref="P164:R164"/>
    <mergeCell ref="C196:F196"/>
    <mergeCell ref="P163:R163"/>
    <mergeCell ref="C197:F197"/>
    <mergeCell ref="G197:L197"/>
    <mergeCell ref="M197:R197"/>
    <mergeCell ref="E203:F203"/>
    <mergeCell ref="G203:L203"/>
    <mergeCell ref="G196:L196"/>
    <mergeCell ref="M196:R196"/>
    <mergeCell ref="M203:R203"/>
    <mergeCell ref="E139:F139"/>
    <mergeCell ref="H139:I139"/>
    <mergeCell ref="F239:G239"/>
    <mergeCell ref="L239:M239"/>
    <mergeCell ref="J161:K161"/>
    <mergeCell ref="L161:M161"/>
    <mergeCell ref="N161:O161"/>
    <mergeCell ref="J163:K163"/>
    <mergeCell ref="L163:M163"/>
    <mergeCell ref="N163:O163"/>
    <mergeCell ref="E212:F212"/>
    <mergeCell ref="G161:I161"/>
    <mergeCell ref="C204:F205"/>
    <mergeCell ref="E150:F150"/>
    <mergeCell ref="E144:F144"/>
    <mergeCell ref="H144:I144"/>
    <mergeCell ref="K144:L144"/>
    <mergeCell ref="N144:O144"/>
    <mergeCell ref="I155:J155"/>
    <mergeCell ref="C132:G132"/>
    <mergeCell ref="H132:J132"/>
    <mergeCell ref="K132:M132"/>
    <mergeCell ref="N132:R132"/>
    <mergeCell ref="K139:L139"/>
    <mergeCell ref="N139:O139"/>
    <mergeCell ref="C128:E128"/>
    <mergeCell ref="F128:G128"/>
    <mergeCell ref="I128:J128"/>
    <mergeCell ref="K128:M128"/>
    <mergeCell ref="N128:R128"/>
    <mergeCell ref="E130:F130"/>
    <mergeCell ref="H130:I130"/>
    <mergeCell ref="K130:L130"/>
    <mergeCell ref="N130:O130"/>
    <mergeCell ref="H135:J135"/>
    <mergeCell ref="K135:M135"/>
    <mergeCell ref="N135:R135"/>
    <mergeCell ref="C136:E136"/>
    <mergeCell ref="F136:G136"/>
    <mergeCell ref="I136:J136"/>
    <mergeCell ref="K136:M136"/>
    <mergeCell ref="N136:R136"/>
    <mergeCell ref="C127:E127"/>
    <mergeCell ref="F127:G127"/>
    <mergeCell ref="H127:J127"/>
    <mergeCell ref="K127:M127"/>
    <mergeCell ref="N127:R127"/>
    <mergeCell ref="C125:E125"/>
    <mergeCell ref="F125:G125"/>
    <mergeCell ref="H125:J125"/>
    <mergeCell ref="K125:M125"/>
    <mergeCell ref="N125:R125"/>
    <mergeCell ref="C126:E126"/>
    <mergeCell ref="F126:G126"/>
    <mergeCell ref="H126:J126"/>
    <mergeCell ref="K126:M126"/>
    <mergeCell ref="N126:R126"/>
    <mergeCell ref="C123:E123"/>
    <mergeCell ref="F123:G123"/>
    <mergeCell ref="H123:J123"/>
    <mergeCell ref="K123:M123"/>
    <mergeCell ref="N123:R123"/>
    <mergeCell ref="C124:E124"/>
    <mergeCell ref="F124:G124"/>
    <mergeCell ref="H124:J124"/>
    <mergeCell ref="K124:M124"/>
    <mergeCell ref="N124:R124"/>
    <mergeCell ref="C121:G121"/>
    <mergeCell ref="H121:J121"/>
    <mergeCell ref="K121:M121"/>
    <mergeCell ref="N121:R121"/>
    <mergeCell ref="C122:E122"/>
    <mergeCell ref="F122:G122"/>
    <mergeCell ref="H122:J122"/>
    <mergeCell ref="K122:M122"/>
    <mergeCell ref="N122:R122"/>
    <mergeCell ref="I114:I115"/>
    <mergeCell ref="J114:J115"/>
    <mergeCell ref="K114:O115"/>
    <mergeCell ref="K117:L117"/>
    <mergeCell ref="AY54:BA54"/>
    <mergeCell ref="AV69:AW69"/>
    <mergeCell ref="AL56:AM56"/>
    <mergeCell ref="AO56:AP56"/>
    <mergeCell ref="AR56:AS56"/>
    <mergeCell ref="AU56:AV56"/>
    <mergeCell ref="AS62:BA62"/>
    <mergeCell ref="AS63:AT64"/>
    <mergeCell ref="AU63:BA63"/>
    <mergeCell ref="AY64:AZ64"/>
    <mergeCell ref="AV67:AW67"/>
    <mergeCell ref="AL54:AM54"/>
    <mergeCell ref="AL57:AM57"/>
    <mergeCell ref="AO57:AP57"/>
    <mergeCell ref="M63:N63"/>
    <mergeCell ref="Q88:R88"/>
    <mergeCell ref="H89:J89"/>
    <mergeCell ref="K89:M89"/>
    <mergeCell ref="N89:P89"/>
    <mergeCell ref="M54:N54"/>
    <mergeCell ref="AP44:AQ44"/>
    <mergeCell ref="D32:H32"/>
    <mergeCell ref="I32:J32"/>
    <mergeCell ref="K32:L32"/>
    <mergeCell ref="O32:P32"/>
    <mergeCell ref="Q32:R32"/>
    <mergeCell ref="D34:H34"/>
    <mergeCell ref="I34:J34"/>
    <mergeCell ref="K34:L34"/>
    <mergeCell ref="D33:H33"/>
    <mergeCell ref="I33:J33"/>
    <mergeCell ref="K33:L33"/>
    <mergeCell ref="M33:N33"/>
    <mergeCell ref="O33:P33"/>
    <mergeCell ref="Q33:R33"/>
    <mergeCell ref="M32:N32"/>
    <mergeCell ref="M34:N34"/>
    <mergeCell ref="AL44:AM44"/>
    <mergeCell ref="AN44:AO44"/>
    <mergeCell ref="H42:J42"/>
    <mergeCell ref="K42:M42"/>
    <mergeCell ref="N42:P42"/>
    <mergeCell ref="Q42:R42"/>
    <mergeCell ref="BC30:BD30"/>
    <mergeCell ref="AT43:AU43"/>
    <mergeCell ref="AL43:AM43"/>
    <mergeCell ref="AN43:AO43"/>
    <mergeCell ref="O30:P30"/>
    <mergeCell ref="Q30:R30"/>
    <mergeCell ref="O31:P31"/>
    <mergeCell ref="Q31:R31"/>
    <mergeCell ref="M30:N30"/>
    <mergeCell ref="M31:N31"/>
    <mergeCell ref="O34:P34"/>
    <mergeCell ref="Q34:R34"/>
    <mergeCell ref="J35:N35"/>
    <mergeCell ref="H41:J41"/>
    <mergeCell ref="N41:P41"/>
    <mergeCell ref="D30:H31"/>
    <mergeCell ref="I30:J30"/>
    <mergeCell ref="K30:L30"/>
    <mergeCell ref="Q41:R41"/>
    <mergeCell ref="K41:M41"/>
    <mergeCell ref="K38:L38"/>
    <mergeCell ref="D20:F20"/>
    <mergeCell ref="G20:I20"/>
    <mergeCell ref="J20:K20"/>
    <mergeCell ref="L20:M20"/>
    <mergeCell ref="K31:L31"/>
    <mergeCell ref="I31:J31"/>
    <mergeCell ref="K28:M28"/>
    <mergeCell ref="K25:M25"/>
    <mergeCell ref="N20:R20"/>
    <mergeCell ref="D21:F21"/>
    <mergeCell ref="G21:I21"/>
    <mergeCell ref="J21:K21"/>
    <mergeCell ref="L21:M21"/>
    <mergeCell ref="N21:R21"/>
    <mergeCell ref="K24:M24"/>
    <mergeCell ref="K26:M26"/>
    <mergeCell ref="K27:M27"/>
    <mergeCell ref="D15:F15"/>
    <mergeCell ref="G15:I15"/>
    <mergeCell ref="L15:M15"/>
    <mergeCell ref="N15:R15"/>
    <mergeCell ref="N18:R18"/>
    <mergeCell ref="D19:F19"/>
    <mergeCell ref="G19:I19"/>
    <mergeCell ref="J19:K19"/>
    <mergeCell ref="L19:M19"/>
    <mergeCell ref="N19:R19"/>
    <mergeCell ref="M16:N16"/>
    <mergeCell ref="D17:F17"/>
    <mergeCell ref="G17:I17"/>
    <mergeCell ref="J17:K17"/>
    <mergeCell ref="L17:M17"/>
    <mergeCell ref="N17:R17"/>
    <mergeCell ref="D18:F18"/>
    <mergeCell ref="G18:I18"/>
    <mergeCell ref="J18:K18"/>
    <mergeCell ref="L18:M18"/>
    <mergeCell ref="M7:N7"/>
    <mergeCell ref="D8:F8"/>
    <mergeCell ref="G8:I8"/>
    <mergeCell ref="J8:K8"/>
    <mergeCell ref="L8:M8"/>
    <mergeCell ref="N8:R8"/>
    <mergeCell ref="D9:F9"/>
    <mergeCell ref="G9:I9"/>
    <mergeCell ref="J9:K9"/>
    <mergeCell ref="L9:M9"/>
    <mergeCell ref="N9:R9"/>
    <mergeCell ref="D10:F10"/>
    <mergeCell ref="G10:I10"/>
    <mergeCell ref="J10:K10"/>
    <mergeCell ref="L10:M10"/>
    <mergeCell ref="N10:R10"/>
    <mergeCell ref="D11:F11"/>
    <mergeCell ref="G11:I11"/>
    <mergeCell ref="J11:K11"/>
    <mergeCell ref="L11:M11"/>
    <mergeCell ref="N11:R11"/>
    <mergeCell ref="D14:F14"/>
    <mergeCell ref="G14:I14"/>
    <mergeCell ref="J14:K14"/>
    <mergeCell ref="L14:M14"/>
    <mergeCell ref="N14:R14"/>
    <mergeCell ref="D12:F12"/>
    <mergeCell ref="G12:I12"/>
    <mergeCell ref="J12:K12"/>
    <mergeCell ref="L12:M12"/>
    <mergeCell ref="N12:R12"/>
    <mergeCell ref="D13:F13"/>
    <mergeCell ref="G13:I13"/>
    <mergeCell ref="J13:K13"/>
    <mergeCell ref="L13:M13"/>
    <mergeCell ref="N13:R13"/>
    <mergeCell ref="J58:K58"/>
    <mergeCell ref="L58:M58"/>
    <mergeCell ref="N58:R58"/>
    <mergeCell ref="D59:F59"/>
    <mergeCell ref="G59:I59"/>
    <mergeCell ref="J59:K59"/>
    <mergeCell ref="L59:M59"/>
    <mergeCell ref="N59:R59"/>
    <mergeCell ref="D60:F60"/>
    <mergeCell ref="G60:I60"/>
    <mergeCell ref="J60:K60"/>
    <mergeCell ref="L60:M60"/>
    <mergeCell ref="N60:R60"/>
    <mergeCell ref="D61:F61"/>
    <mergeCell ref="G61:I61"/>
    <mergeCell ref="J61:K61"/>
    <mergeCell ref="L61:M61"/>
    <mergeCell ref="N61:R61"/>
    <mergeCell ref="D62:F62"/>
    <mergeCell ref="G62:I62"/>
    <mergeCell ref="L62:M62"/>
    <mergeCell ref="N62:R62"/>
    <mergeCell ref="D64:F64"/>
    <mergeCell ref="G64:I64"/>
    <mergeCell ref="J64:K64"/>
    <mergeCell ref="L64:M64"/>
    <mergeCell ref="N64:R64"/>
    <mergeCell ref="D65:F65"/>
    <mergeCell ref="G65:I65"/>
    <mergeCell ref="J65:K65"/>
    <mergeCell ref="L65:M65"/>
    <mergeCell ref="N65:R65"/>
    <mergeCell ref="D66:F66"/>
    <mergeCell ref="G66:I66"/>
    <mergeCell ref="J66:K66"/>
    <mergeCell ref="L66:M66"/>
    <mergeCell ref="N66:R66"/>
    <mergeCell ref="D67:F67"/>
    <mergeCell ref="G67:I67"/>
    <mergeCell ref="J67:K67"/>
    <mergeCell ref="L67:M67"/>
    <mergeCell ref="N67:R67"/>
    <mergeCell ref="D68:F68"/>
    <mergeCell ref="G68:I68"/>
    <mergeCell ref="J68:K68"/>
    <mergeCell ref="L68:M68"/>
    <mergeCell ref="N68:R68"/>
    <mergeCell ref="K71:M71"/>
    <mergeCell ref="K73:M73"/>
    <mergeCell ref="K74:M74"/>
    <mergeCell ref="K75:M75"/>
    <mergeCell ref="K72:M72"/>
    <mergeCell ref="D77:H78"/>
    <mergeCell ref="I77:J77"/>
    <mergeCell ref="K77:L77"/>
    <mergeCell ref="O77:P77"/>
    <mergeCell ref="Q77:R77"/>
    <mergeCell ref="I78:J78"/>
    <mergeCell ref="K78:L78"/>
    <mergeCell ref="O78:P78"/>
    <mergeCell ref="Q78:R78"/>
    <mergeCell ref="M77:N77"/>
    <mergeCell ref="M78:N78"/>
    <mergeCell ref="D79:H79"/>
    <mergeCell ref="I79:J79"/>
    <mergeCell ref="K79:L79"/>
    <mergeCell ref="O79:P79"/>
    <mergeCell ref="Q79:R79"/>
    <mergeCell ref="M79:N79"/>
    <mergeCell ref="M85:N85"/>
    <mergeCell ref="H88:J88"/>
    <mergeCell ref="K88:M88"/>
    <mergeCell ref="N88:P88"/>
    <mergeCell ref="D80:H80"/>
    <mergeCell ref="I80:J80"/>
    <mergeCell ref="K80:L80"/>
    <mergeCell ref="M80:N80"/>
    <mergeCell ref="O80:P80"/>
    <mergeCell ref="Q80:R80"/>
    <mergeCell ref="D81:H81"/>
    <mergeCell ref="I81:J81"/>
    <mergeCell ref="K81:L81"/>
    <mergeCell ref="M81:N81"/>
    <mergeCell ref="O81:P81"/>
    <mergeCell ref="Q81:R81"/>
    <mergeCell ref="J82:N82"/>
    <mergeCell ref="H92:J92"/>
    <mergeCell ref="K92:M92"/>
    <mergeCell ref="N92:P92"/>
    <mergeCell ref="Q92:R92"/>
    <mergeCell ref="Q89:R89"/>
    <mergeCell ref="H90:J90"/>
    <mergeCell ref="K90:M90"/>
    <mergeCell ref="N90:P90"/>
    <mergeCell ref="Q90:R90"/>
    <mergeCell ref="H91:J91"/>
    <mergeCell ref="K91:M91"/>
    <mergeCell ref="N91:P91"/>
    <mergeCell ref="Q91:R91"/>
  </mergeCells>
  <phoneticPr fontId="25"/>
  <conditionalFormatting sqref="A159:S159 A166:S179 A194:S194 A180:G181 S180:S181 S186:S193 A186:G193 D165:S165 A160:B161 A162 J160:R162 G160:G162 E160:E162 C162 A165 A211:S212 A213:D213 G213:S213">
    <cfRule type="expression" dxfId="81" priority="67">
      <formula>#REF!="オフサイト貯留施設"</formula>
    </cfRule>
  </conditionalFormatting>
  <conditionalFormatting sqref="S182:S185 A182:C182 A183:B185 G182:G185">
    <cfRule type="expression" dxfId="80" priority="39">
      <formula>#REF!="オフサイト貯留施設"</formula>
    </cfRule>
  </conditionalFormatting>
  <conditionalFormatting sqref="C160:C161">
    <cfRule type="expression" dxfId="79" priority="38">
      <formula>#REF!="オフサイト貯留施設"</formula>
    </cfRule>
  </conditionalFormatting>
  <conditionalFormatting sqref="A163 J163:R163 G163 E163 C163 U209:AJ209 BH209:XFD209 U207:AJ207 BH207:XFD207 U205:AJ205 BH205:XFD205 U203:AJ203 BH203:XFD203 U201:AJ201 BH201:XFD201 U199:AJ199 BH199:XFD199 U197:AJ197 BH197:XFD197 U195:AJ195 BH195:XFD195 AK210 BG210 AL211:BF211 AK208 BG208 AL209:BF209 AK206 BG206 AL207:BF207 AK204 BG204 AL205:BF205 AK202 BG202 AL203:BF203 AK200 BG200 AL201:BF201 AK198 BG198 AL199:BF199 AK196 BG196 AL197:BF197">
    <cfRule type="expression" dxfId="78" priority="37">
      <formula>#REF!="オフサイト貯留施設"</formula>
    </cfRule>
  </conditionalFormatting>
  <conditionalFormatting sqref="A164 J164:R164 G164 E164 C164">
    <cfRule type="expression" dxfId="77" priority="36">
      <formula>#REF!="オフサイト貯留施設"</formula>
    </cfRule>
  </conditionalFormatting>
  <conditionalFormatting sqref="A210:S210">
    <cfRule type="expression" dxfId="76" priority="35">
      <formula>#REF!="オフサイト貯留施設"</formula>
    </cfRule>
  </conditionalFormatting>
  <conditionalFormatting sqref="A209:B209 S209">
    <cfRule type="expression" dxfId="75" priority="34">
      <formula>#REF!="オフサイト貯留施設"</formula>
    </cfRule>
  </conditionalFormatting>
  <conditionalFormatting sqref="A208:B208 S208">
    <cfRule type="expression" dxfId="74" priority="33">
      <formula>#REF!="オフサイト貯留施設"</formula>
    </cfRule>
  </conditionalFormatting>
  <conditionalFormatting sqref="A207:B207 S207">
    <cfRule type="expression" dxfId="73" priority="32">
      <formula>#REF!="オフサイト貯留施設"</formula>
    </cfRule>
  </conditionalFormatting>
  <conditionalFormatting sqref="A206:B206 S206">
    <cfRule type="expression" dxfId="72" priority="31">
      <formula>#REF!="オフサイト貯留施設"</formula>
    </cfRule>
  </conditionalFormatting>
  <conditionalFormatting sqref="A205:B205 S205">
    <cfRule type="expression" dxfId="71" priority="30">
      <formula>#REF!="オフサイト貯留施設"</formula>
    </cfRule>
  </conditionalFormatting>
  <conditionalFormatting sqref="A204:B204 S204">
    <cfRule type="expression" dxfId="70" priority="29">
      <formula>#REF!="オフサイト貯留施設"</formula>
    </cfRule>
  </conditionalFormatting>
  <conditionalFormatting sqref="A203:B203 S203">
    <cfRule type="expression" dxfId="69" priority="28">
      <formula>#REF!="オフサイト貯留施設"</formula>
    </cfRule>
  </conditionalFormatting>
  <conditionalFormatting sqref="A202:B202 S202">
    <cfRule type="expression" dxfId="68" priority="27">
      <formula>#REF!="オフサイト貯留施設"</formula>
    </cfRule>
  </conditionalFormatting>
  <conditionalFormatting sqref="A201:B201 S201">
    <cfRule type="expression" dxfId="67" priority="26">
      <formula>#REF!="オフサイト貯留施設"</formula>
    </cfRule>
  </conditionalFormatting>
  <conditionalFormatting sqref="A200:B200 S200">
    <cfRule type="expression" dxfId="66" priority="25">
      <formula>#REF!="オフサイト貯留施設"</formula>
    </cfRule>
  </conditionalFormatting>
  <conditionalFormatting sqref="A199:B199 S199">
    <cfRule type="expression" dxfId="65" priority="24">
      <formula>#REF!="オフサイト貯留施設"</formula>
    </cfRule>
  </conditionalFormatting>
  <conditionalFormatting sqref="A198:B198 S198">
    <cfRule type="expression" dxfId="64" priority="23">
      <formula>#REF!="オフサイト貯留施設"</formula>
    </cfRule>
  </conditionalFormatting>
  <conditionalFormatting sqref="A197:B197 S197">
    <cfRule type="expression" dxfId="63" priority="22">
      <formula>#REF!="オフサイト貯留施設"</formula>
    </cfRule>
  </conditionalFormatting>
  <conditionalFormatting sqref="A196:B196 S196">
    <cfRule type="expression" dxfId="62" priority="21">
      <formula>#REF!="オフサイト貯留施設"</formula>
    </cfRule>
  </conditionalFormatting>
  <conditionalFormatting sqref="A195:B195 S195">
    <cfRule type="expression" dxfId="61" priority="20">
      <formula>#REF!="オフサイト貯留施設"</formula>
    </cfRule>
  </conditionalFormatting>
  <conditionalFormatting sqref="C195:R195">
    <cfRule type="expression" dxfId="60" priority="19">
      <formula>#REF!="オンサイト貯留施設"</formula>
    </cfRule>
  </conditionalFormatting>
  <conditionalFormatting sqref="C196:F197 C198 G204:G205 C202:F209 G202">
    <cfRule type="expression" dxfId="59" priority="18">
      <formula>#REF!="オフサイト貯留施設"</formula>
    </cfRule>
  </conditionalFormatting>
  <conditionalFormatting sqref="G196:G197 M196:M197 M206:M209">
    <cfRule type="expression" dxfId="58" priority="17">
      <formula>#REF!="オフサイト貯留施設"</formula>
    </cfRule>
  </conditionalFormatting>
  <conditionalFormatting sqref="G203">
    <cfRule type="expression" dxfId="57" priority="16">
      <formula>#REF!="オフサイト貯留施設"</formula>
    </cfRule>
  </conditionalFormatting>
  <conditionalFormatting sqref="G206:G209">
    <cfRule type="expression" dxfId="56" priority="15">
      <formula>#REF!="オフサイト貯留施設"</formula>
    </cfRule>
  </conditionalFormatting>
  <conditionalFormatting sqref="M203">
    <cfRule type="expression" dxfId="55" priority="14">
      <formula>#REF!="オフサイト貯留施設"</formula>
    </cfRule>
  </conditionalFormatting>
  <conditionalFormatting sqref="E213:F213">
    <cfRule type="expression" dxfId="54" priority="13">
      <formula>#REF!="オフサイト貯留施設"</formula>
    </cfRule>
  </conditionalFormatting>
  <conditionalFormatting sqref="F282 F285">
    <cfRule type="expression" dxfId="53" priority="12">
      <formula>#REF!="オフサイト貯留施設"</formula>
    </cfRule>
  </conditionalFormatting>
  <conditionalFormatting sqref="C280:D281 F280:G281">
    <cfRule type="expression" dxfId="52" priority="11">
      <formula>#REF!="オフサイト貯留施設"</formula>
    </cfRule>
  </conditionalFormatting>
  <conditionalFormatting sqref="C272">
    <cfRule type="expression" dxfId="51" priority="10">
      <formula>#REF!="オフサイト貯留施設"</formula>
    </cfRule>
  </conditionalFormatting>
  <conditionalFormatting sqref="C271:G271">
    <cfRule type="expression" dxfId="50" priority="9">
      <formula>#REF!="オフサイト貯留施設"</formula>
    </cfRule>
  </conditionalFormatting>
  <conditionalFormatting sqref="E280">
    <cfRule type="expression" dxfId="49" priority="8">
      <formula>#REF!="オフサイト貯留施設"</formula>
    </cfRule>
  </conditionalFormatting>
  <conditionalFormatting sqref="E281">
    <cfRule type="expression" dxfId="48" priority="7">
      <formula>#REF!="オフサイト貯留施設"</formula>
    </cfRule>
  </conditionalFormatting>
  <conditionalFormatting sqref="F283:F284 F286:F287">
    <cfRule type="expression" dxfId="47" priority="6">
      <formula>#REF!="オフサイト貯留施設"</formula>
    </cfRule>
  </conditionalFormatting>
  <conditionalFormatting sqref="C275:G275">
    <cfRule type="expression" dxfId="46" priority="5">
      <formula>#REF!="オフサイト貯留施設"</formula>
    </cfRule>
  </conditionalFormatting>
  <conditionalFormatting sqref="C274:G274">
    <cfRule type="expression" dxfId="45" priority="4">
      <formula>#REF!="オフサイト貯留施設"</formula>
    </cfRule>
  </conditionalFormatting>
  <conditionalFormatting sqref="C278:D279">
    <cfRule type="expression" dxfId="44" priority="3">
      <formula>#REF!="オフサイト貯留施設"</formula>
    </cfRule>
  </conditionalFormatting>
  <conditionalFormatting sqref="E278:G278">
    <cfRule type="expression" dxfId="43" priority="2">
      <formula>#REF!="オフサイト貯留施設"</formula>
    </cfRule>
  </conditionalFormatting>
  <conditionalFormatting sqref="L279">
    <cfRule type="expression" dxfId="42" priority="1">
      <formula>#REF!="オフサイト貯留施設"</formula>
    </cfRule>
  </conditionalFormatting>
  <dataValidations count="15">
    <dataValidation type="list" allowBlank="1" showInputMessage="1" showErrorMessage="1" sqref="K27">
      <formula1>"1.0m以上,1.0m未満"</formula1>
    </dataValidation>
    <dataValidation type="list" allowBlank="1" showInputMessage="1" showErrorMessage="1" sqref="AK42:AK45 AC42:AC45">
      <formula1>"要,不要"</formula1>
    </dataValidation>
    <dataValidation allowBlank="1" showInputMessage="1" showErrorMessage="1" sqref="BB62:BC62 AS62 Q80:Q81 Q32:Q33"/>
    <dataValidation allowBlank="1" showErrorMessage="1" promptTitle="注意" prompt="各戸の駐車場を集水する場合は「駐車場〇m2×〇宅地」などと記載すること。" sqref="N9:R14"/>
    <dataValidation type="decimal" allowBlank="1" showInputMessage="1" showErrorMessage="1" error="0.02~0.20の範囲で入力してください。_x000a_0.02未満は浸透不適地なので浸透不可" sqref="K26:M26">
      <formula1>0.02</formula1>
      <formula2>0.2</formula2>
    </dataValidation>
    <dataValidation allowBlank="1" showInputMessage="1" showErrorMessage="1" prompt="開発区域外からの流入がある場合（区域外ののり面などにより流入する場合等）は集水面積に加算すること。" sqref="G9:I14"/>
    <dataValidation type="decimal" allowBlank="1" showInputMessage="1" showErrorMessage="1" prompt="使用する製品(貯留槽)により0.90~1.00の範囲で入力する。" sqref="K24:M24">
      <formula1>0.9</formula1>
      <formula2>0.98</formula2>
    </dataValidation>
    <dataValidation type="list" allowBlank="1" showInputMessage="1" showErrorMessage="1" sqref="K28:M28">
      <formula1>"コンクリート,砕石"</formula1>
    </dataValidation>
    <dataValidation type="list" allowBlank="1" showInputMessage="1" showErrorMessage="1" sqref="J35:N35">
      <formula1>"市道路排水施設,国県私が管理する排水施設"</formula1>
    </dataValidation>
    <dataValidation showInputMessage="1" showErrorMessage="1" sqref="C155:C157 C267:C269"/>
    <dataValidation type="decimal" allowBlank="1" showInputMessage="1" showErrorMessage="1" sqref="K25:M25">
      <formula1>0.01</formula1>
      <formula2>0.3</formula2>
    </dataValidation>
    <dataValidation allowBlank="1" showInputMessage="1" showErrorMessage="1" promptTitle="注意" prompt="開発検査までに設置されない施設は計上不可" sqref="O33:P33 Q34:R34"/>
    <dataValidation type="list" allowBlank="1" showInputMessage="1" showErrorMessage="1" sqref="M33:N33">
      <formula1>$AT$27:$AT$33</formula1>
    </dataValidation>
    <dataValidation type="list" allowBlank="1" showInputMessage="1" showErrorMessage="1" sqref="M34:N34">
      <formula1>$BA$27:$BA$33</formula1>
    </dataValidation>
    <dataValidation type="list" allowBlank="1" showInputMessage="1" showErrorMessage="1" sqref="D9:F14 D18:F20">
      <formula1>$AL$12:$AL$19</formula1>
    </dataValidation>
  </dataValidations>
  <pageMargins left="0.74803149606299213" right="0.74803149606299213" top="0.59055118110236227" bottom="0.59055118110236227" header="0.39370078740157483" footer="0.27559055118110237"/>
  <pageSetup paperSize="9" scale="98" orientation="portrait" r:id="rId1"/>
  <headerFooter>
    <oddHeader>&amp;R&amp;"BIZ UD明朝 Medium,標準"提出先　土木建設課</oddHeader>
    <oddFooter>&amp;L&amp;"BIZ UD明朝 Medium,標準"&amp;12&amp;A&amp;C&amp;"BIZ UD明朝 Medium,標準"&amp;12&amp;P / &amp;N ページ&amp;R雨水流出抑制計算ver3.1
&amp;D</oddFooter>
  </headerFooter>
  <rowBreaks count="4" manualBreakCount="4">
    <brk id="94" max="18" man="1"/>
    <brk id="151" max="18" man="1"/>
    <brk id="209" max="18" man="1"/>
    <brk id="263" max="18" man="1"/>
  </rowBreaks>
  <ignoredErrors>
    <ignoredError sqref="C163:R164" formula="1"/>
    <ignoredError sqref="H250" numberStoredAsText="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I30"/>
  <sheetViews>
    <sheetView zoomScale="145" zoomScaleNormal="145" workbookViewId="0"/>
  </sheetViews>
  <sheetFormatPr defaultColWidth="2.5" defaultRowHeight="13.5"/>
  <cols>
    <col min="1" max="1" width="2.5" style="184" customWidth="1"/>
    <col min="2" max="36" width="2.5" style="184"/>
    <col min="37" max="61" width="2.5" style="184" hidden="1" customWidth="1"/>
    <col min="62" max="63" width="0" style="184" hidden="1" customWidth="1"/>
    <col min="64" max="16384" width="2.5" style="184"/>
  </cols>
  <sheetData>
    <row r="1" spans="1:21">
      <c r="A1" s="27" t="s">
        <v>572</v>
      </c>
      <c r="K1" s="969" t="s">
        <v>787</v>
      </c>
      <c r="L1" s="969"/>
      <c r="M1" s="969"/>
      <c r="N1" s="969"/>
      <c r="O1" s="969"/>
      <c r="P1" s="969"/>
      <c r="Q1" s="969"/>
      <c r="R1" s="969"/>
      <c r="S1" s="969"/>
      <c r="T1" s="969"/>
      <c r="U1" s="969"/>
    </row>
    <row r="2" spans="1:21">
      <c r="A2" s="27"/>
      <c r="K2" s="329"/>
      <c r="L2" s="329"/>
      <c r="M2" s="329"/>
      <c r="N2" s="329"/>
      <c r="O2" s="329"/>
      <c r="P2" s="329"/>
      <c r="Q2" s="329"/>
      <c r="R2" s="329"/>
      <c r="S2" s="329"/>
      <c r="T2" s="329"/>
      <c r="U2" s="329"/>
    </row>
    <row r="3" spans="1:21">
      <c r="A3" s="27" t="s">
        <v>681</v>
      </c>
    </row>
    <row r="5" spans="1:21" hidden="1">
      <c r="B5" s="27" t="s">
        <v>555</v>
      </c>
      <c r="C5" s="27"/>
    </row>
    <row r="6" spans="1:21" hidden="1">
      <c r="C6" s="184" t="s">
        <v>556</v>
      </c>
    </row>
    <row r="7" spans="1:21" hidden="1"/>
    <row r="8" spans="1:21" hidden="1">
      <c r="B8" s="27" t="s">
        <v>580</v>
      </c>
      <c r="C8" s="228"/>
    </row>
    <row r="9" spans="1:21" hidden="1">
      <c r="C9" s="184" t="s">
        <v>557</v>
      </c>
    </row>
    <row r="10" spans="1:21" hidden="1">
      <c r="C10" s="184" t="s">
        <v>558</v>
      </c>
    </row>
    <row r="11" spans="1:21" hidden="1"/>
    <row r="12" spans="1:21" hidden="1">
      <c r="B12" s="27" t="s">
        <v>581</v>
      </c>
      <c r="C12" s="228"/>
    </row>
    <row r="13" spans="1:21" hidden="1">
      <c r="C13" s="184" t="s">
        <v>571</v>
      </c>
    </row>
    <row r="14" spans="1:21" hidden="1"/>
    <row r="15" spans="1:21" hidden="1">
      <c r="B15" s="27" t="s">
        <v>582</v>
      </c>
      <c r="C15" s="228"/>
    </row>
    <row r="16" spans="1:21" hidden="1">
      <c r="C16" s="184" t="s">
        <v>559</v>
      </c>
    </row>
    <row r="17" spans="2:3" hidden="1">
      <c r="C17" s="184" t="s">
        <v>560</v>
      </c>
    </row>
    <row r="18" spans="2:3" hidden="1">
      <c r="C18" s="184" t="s">
        <v>561</v>
      </c>
    </row>
    <row r="19" spans="2:3" hidden="1">
      <c r="C19" s="184" t="s">
        <v>578</v>
      </c>
    </row>
    <row r="20" spans="2:3" hidden="1"/>
    <row r="21" spans="2:3" hidden="1">
      <c r="B21" s="27" t="s">
        <v>631</v>
      </c>
    </row>
    <row r="22" spans="2:3" hidden="1">
      <c r="C22" s="184" t="s">
        <v>632</v>
      </c>
    </row>
    <row r="23" spans="2:3" hidden="1"/>
    <row r="24" spans="2:3">
      <c r="B24" s="27" t="s">
        <v>756</v>
      </c>
    </row>
    <row r="25" spans="2:3">
      <c r="B25" s="27"/>
      <c r="C25" s="184" t="s">
        <v>757</v>
      </c>
    </row>
    <row r="26" spans="2:3">
      <c r="C26" s="184" t="s">
        <v>639</v>
      </c>
    </row>
    <row r="28" spans="2:3">
      <c r="B28" s="27" t="s">
        <v>785</v>
      </c>
    </row>
    <row r="29" spans="2:3">
      <c r="B29" s="27"/>
      <c r="C29" s="184" t="s">
        <v>786</v>
      </c>
    </row>
    <row r="30" spans="2:3">
      <c r="C30" s="184" t="s">
        <v>796</v>
      </c>
    </row>
  </sheetData>
  <sheetProtection algorithmName="SHA-512" hashValue="zvEdfFIydZyh/j07hmcMbW9X8HyPrBjyOwC6AbeBKNQ8dRJOZ17ZnQKxxZA+/kkhO0/7khDKl0rTvjm72HmUSg==" saltValue="YJdhB0xd4hQkunl1w2ne/g==" spinCount="100000" sheet="1" objects="1" scenarios="1" selectLockedCells="1" selectUnlockedCells="1"/>
  <phoneticPr fontId="25"/>
  <pageMargins left="0.7" right="0.7" top="0.75" bottom="0.75" header="0.3" footer="0.3"/>
  <pageSetup paperSize="9" orientation="portrait" horizontalDpi="1200" verticalDpi="1200" r:id="rId1"/>
  <headerFooter>
    <oddFooter>&amp;R雨水流出抑制計算ver3.1
&amp;D</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C15"/>
  <sheetViews>
    <sheetView workbookViewId="0"/>
  </sheetViews>
  <sheetFormatPr defaultColWidth="4.875" defaultRowHeight="19.5" customHeight="1"/>
  <cols>
    <col min="37" max="63" width="0" hidden="1" customWidth="1"/>
  </cols>
  <sheetData>
    <row r="1" spans="1:3" ht="19.5" customHeight="1">
      <c r="A1" s="331" t="s">
        <v>583</v>
      </c>
    </row>
    <row r="2" spans="1:3" ht="19.5" customHeight="1">
      <c r="A2" s="331" t="s">
        <v>584</v>
      </c>
    </row>
    <row r="3" spans="1:3" ht="19.5" customHeight="1">
      <c r="B3" s="331" t="s">
        <v>585</v>
      </c>
    </row>
    <row r="4" spans="1:3" ht="19.5" customHeight="1">
      <c r="B4" s="331" t="s">
        <v>586</v>
      </c>
    </row>
    <row r="5" spans="1:3" ht="19.5" customHeight="1">
      <c r="B5" s="331" t="s">
        <v>596</v>
      </c>
    </row>
    <row r="6" spans="1:3" ht="19.5" customHeight="1">
      <c r="C6" s="331" t="s">
        <v>633</v>
      </c>
    </row>
    <row r="7" spans="1:3" ht="19.5" customHeight="1">
      <c r="C7" s="331" t="s">
        <v>587</v>
      </c>
    </row>
    <row r="8" spans="1:3" ht="19.5" customHeight="1">
      <c r="C8" s="331" t="s">
        <v>588</v>
      </c>
    </row>
    <row r="9" spans="1:3" ht="19.5" customHeight="1">
      <c r="C9" s="331" t="s">
        <v>589</v>
      </c>
    </row>
    <row r="10" spans="1:3" ht="19.5" customHeight="1">
      <c r="C10" s="331" t="s">
        <v>590</v>
      </c>
    </row>
    <row r="11" spans="1:3" ht="19.5" customHeight="1">
      <c r="C11" s="331" t="s">
        <v>591</v>
      </c>
    </row>
    <row r="12" spans="1:3" ht="19.5" customHeight="1">
      <c r="C12" s="331" t="s">
        <v>592</v>
      </c>
    </row>
    <row r="13" spans="1:3" ht="19.5" customHeight="1">
      <c r="C13" s="331" t="s">
        <v>593</v>
      </c>
    </row>
    <row r="14" spans="1:3" ht="19.5" customHeight="1">
      <c r="B14" s="331" t="s">
        <v>594</v>
      </c>
    </row>
    <row r="15" spans="1:3" ht="19.5" customHeight="1">
      <c r="B15" s="331" t="s">
        <v>595</v>
      </c>
    </row>
  </sheetData>
  <sheetProtection algorithmName="SHA-512" hashValue="7S/TsoK9RPhWBWdlTFSv7rdzWO+aU4GcNR16NLHhkt39jD1luv6yu2n7Okg0AcIv/z7xaFnU12Wa/swbAFy7Ng==" saltValue="2Fd9307biRD3hkmmep1kFg==" spinCount="100000" sheet="1" objects="1" scenarios="1"/>
  <phoneticPr fontId="25"/>
  <pageMargins left="0.7" right="0.7" top="0.75" bottom="0.75" header="0.3" footer="0.3"/>
  <pageSetup paperSize="9" orientation="portrait" horizontalDpi="0" verticalDpi="0" r:id="rId1"/>
  <headerFooter>
    <oddFooter>&amp;R雨水流出抑制計算ver3.1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デスクトップに公開版を作成">
                <anchor moveWithCells="1" sizeWithCells="1">
                  <from>
                    <xdr:col>0</xdr:col>
                    <xdr:colOff>371475</xdr:colOff>
                    <xdr:row>16</xdr:row>
                    <xdr:rowOff>0</xdr:rowOff>
                  </from>
                  <to>
                    <xdr:col>5</xdr:col>
                    <xdr:colOff>371475</xdr:colOff>
                    <xdr:row>18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BI27"/>
  <sheetViews>
    <sheetView showZeros="0" workbookViewId="0"/>
  </sheetViews>
  <sheetFormatPr defaultColWidth="20.5" defaultRowHeight="14.45" customHeight="1"/>
  <cols>
    <col min="1" max="1" width="18.125" style="1" bestFit="1" customWidth="1"/>
    <col min="2" max="2" width="11.5" style="1" bestFit="1" customWidth="1"/>
    <col min="3" max="3" width="26.75" style="1" bestFit="1" customWidth="1"/>
    <col min="4" max="5" width="22.375" style="1" bestFit="1" customWidth="1"/>
    <col min="6" max="6" width="15.875" style="1" bestFit="1" customWidth="1"/>
    <col min="7" max="7" width="34.375" style="1" bestFit="1" customWidth="1"/>
    <col min="8" max="9" width="45.25" style="1" bestFit="1" customWidth="1"/>
    <col min="10" max="11" width="13.75" style="1" bestFit="1" customWidth="1"/>
    <col min="12" max="13" width="9.375" style="1" bestFit="1" customWidth="1"/>
    <col min="14" max="14" width="11.5" style="1" bestFit="1" customWidth="1"/>
    <col min="15" max="16" width="14.75" style="1" bestFit="1" customWidth="1"/>
    <col min="17" max="18" width="12.625" style="1" bestFit="1" customWidth="1"/>
    <col min="19" max="19" width="15.875" style="1" bestFit="1" customWidth="1"/>
    <col min="20" max="21" width="13.75" style="1" bestFit="1" customWidth="1"/>
    <col min="22" max="22" width="16.125" style="1" bestFit="1" customWidth="1"/>
    <col min="23" max="36" width="20.5" style="1"/>
    <col min="37" max="61" width="20.5" style="1" hidden="1" customWidth="1"/>
    <col min="62" max="63" width="0" style="1" hidden="1" customWidth="1"/>
    <col min="64" max="16384" width="20.5" style="1"/>
  </cols>
  <sheetData>
    <row r="1" spans="1:21" ht="14.45" customHeight="1">
      <c r="A1" s="2" t="s">
        <v>37</v>
      </c>
      <c r="B1" s="3" t="s">
        <v>92</v>
      </c>
      <c r="C1" s="3" t="s">
        <v>271</v>
      </c>
      <c r="D1" s="7" t="s">
        <v>180</v>
      </c>
      <c r="G1" s="11" t="s">
        <v>347</v>
      </c>
      <c r="H1" s="11" t="s">
        <v>348</v>
      </c>
      <c r="I1" s="957" t="s">
        <v>164</v>
      </c>
      <c r="J1" s="958"/>
      <c r="K1" s="955" t="s">
        <v>165</v>
      </c>
      <c r="L1" s="952" t="s">
        <v>228</v>
      </c>
      <c r="M1" s="953"/>
      <c r="N1" s="957" t="s">
        <v>169</v>
      </c>
      <c r="O1" s="961"/>
      <c r="P1" s="961"/>
      <c r="Q1" s="958"/>
      <c r="R1" s="952" t="s">
        <v>170</v>
      </c>
      <c r="S1" s="954"/>
      <c r="T1" s="953"/>
      <c r="U1" s="955" t="s">
        <v>27</v>
      </c>
    </row>
    <row r="2" spans="1:21" ht="14.45" customHeight="1">
      <c r="A2" s="14" t="s">
        <v>273</v>
      </c>
      <c r="B2" s="15">
        <v>2439</v>
      </c>
      <c r="C2" s="15">
        <v>11.9</v>
      </c>
      <c r="D2" s="16">
        <v>0.75</v>
      </c>
      <c r="G2" s="11" t="s">
        <v>417</v>
      </c>
      <c r="H2" s="11" t="s">
        <v>342</v>
      </c>
      <c r="I2" s="959"/>
      <c r="J2" s="960"/>
      <c r="K2" s="956"/>
      <c r="L2" s="22" t="s">
        <v>167</v>
      </c>
      <c r="M2" s="22" t="s">
        <v>168</v>
      </c>
      <c r="N2" s="959"/>
      <c r="O2" s="962"/>
      <c r="P2" s="962"/>
      <c r="Q2" s="960"/>
      <c r="R2" s="22" t="s">
        <v>171</v>
      </c>
      <c r="S2" s="22" t="s">
        <v>172</v>
      </c>
      <c r="T2" s="22" t="s">
        <v>173</v>
      </c>
      <c r="U2" s="956"/>
    </row>
    <row r="3" spans="1:21" ht="14.45" customHeight="1">
      <c r="A3" s="14" t="s">
        <v>275</v>
      </c>
      <c r="B3" s="15">
        <v>2189</v>
      </c>
      <c r="C3" s="15">
        <v>11.2</v>
      </c>
      <c r="D3" s="16">
        <v>0.75</v>
      </c>
      <c r="G3" s="11" t="s">
        <v>419</v>
      </c>
      <c r="H3" s="11" t="s">
        <v>424</v>
      </c>
      <c r="I3" s="11" t="s">
        <v>342</v>
      </c>
      <c r="J3" s="22" t="s">
        <v>342</v>
      </c>
      <c r="K3" s="22" t="s">
        <v>343</v>
      </c>
      <c r="L3" s="22" t="s">
        <v>231</v>
      </c>
      <c r="M3" s="22" t="s">
        <v>344</v>
      </c>
      <c r="N3" s="22" t="s">
        <v>233</v>
      </c>
      <c r="O3" s="22" t="s">
        <v>234</v>
      </c>
      <c r="P3" s="22"/>
      <c r="Q3" s="22"/>
      <c r="R3" s="22">
        <v>1.4E-2</v>
      </c>
      <c r="S3" s="22">
        <v>1.2869999999999999</v>
      </c>
      <c r="T3" s="22" t="s">
        <v>215</v>
      </c>
      <c r="U3" s="22" t="s">
        <v>345</v>
      </c>
    </row>
    <row r="4" spans="1:21" ht="14.45" customHeight="1">
      <c r="A4" s="14" t="s">
        <v>442</v>
      </c>
      <c r="B4" s="15">
        <v>1695</v>
      </c>
      <c r="C4" s="15">
        <v>10</v>
      </c>
      <c r="D4" s="16">
        <v>0.75</v>
      </c>
      <c r="G4" s="11"/>
      <c r="H4" s="11" t="s">
        <v>423</v>
      </c>
      <c r="I4" s="11" t="s">
        <v>424</v>
      </c>
      <c r="J4" s="22" t="s">
        <v>229</v>
      </c>
      <c r="K4" s="22" t="s">
        <v>230</v>
      </c>
      <c r="L4" s="22" t="s">
        <v>231</v>
      </c>
      <c r="M4" s="22" t="s">
        <v>232</v>
      </c>
      <c r="N4" s="22" t="s">
        <v>233</v>
      </c>
      <c r="O4" s="22" t="s">
        <v>234</v>
      </c>
      <c r="P4" s="22" t="s">
        <v>235</v>
      </c>
      <c r="Q4" s="22"/>
      <c r="R4" s="22">
        <v>3.093</v>
      </c>
      <c r="S4" s="22" t="s">
        <v>236</v>
      </c>
      <c r="T4" s="22" t="s">
        <v>215</v>
      </c>
      <c r="U4" s="22" t="s">
        <v>237</v>
      </c>
    </row>
    <row r="5" spans="1:21" ht="14.45" customHeight="1">
      <c r="A5" s="14" t="s">
        <v>278</v>
      </c>
      <c r="B5" s="15">
        <v>1406</v>
      </c>
      <c r="C5" s="15">
        <v>9.3000000000000007</v>
      </c>
      <c r="D5" s="16">
        <v>0.75</v>
      </c>
      <c r="G5" s="11"/>
      <c r="H5" s="11" t="s">
        <v>422</v>
      </c>
      <c r="I5" s="11" t="s">
        <v>423</v>
      </c>
      <c r="J5" s="22" t="s">
        <v>238</v>
      </c>
      <c r="K5" s="22" t="s">
        <v>230</v>
      </c>
      <c r="L5" s="22" t="s">
        <v>231</v>
      </c>
      <c r="M5" s="22" t="s">
        <v>239</v>
      </c>
      <c r="N5" s="22" t="s">
        <v>240</v>
      </c>
      <c r="O5" s="22" t="s">
        <v>234</v>
      </c>
      <c r="P5" s="22" t="s">
        <v>241</v>
      </c>
      <c r="Q5" s="22"/>
      <c r="R5" s="22" t="s">
        <v>242</v>
      </c>
      <c r="S5" s="22" t="s">
        <v>243</v>
      </c>
      <c r="T5" s="22" t="s">
        <v>244</v>
      </c>
      <c r="U5" s="22" t="s">
        <v>215</v>
      </c>
    </row>
    <row r="6" spans="1:21" ht="14.45" customHeight="1">
      <c r="A6" s="14" t="s">
        <v>280</v>
      </c>
      <c r="B6" s="15">
        <v>5000</v>
      </c>
      <c r="C6" s="15">
        <v>40</v>
      </c>
      <c r="D6" s="16">
        <v>1</v>
      </c>
      <c r="G6" s="11"/>
      <c r="H6" s="11" t="s">
        <v>421</v>
      </c>
      <c r="I6" s="11" t="s">
        <v>422</v>
      </c>
      <c r="J6" s="22" t="s">
        <v>238</v>
      </c>
      <c r="K6" s="22" t="s">
        <v>245</v>
      </c>
      <c r="L6" s="22" t="s">
        <v>231</v>
      </c>
      <c r="M6" s="22" t="s">
        <v>246</v>
      </c>
      <c r="N6" s="22" t="s">
        <v>233</v>
      </c>
      <c r="O6" s="22" t="s">
        <v>234</v>
      </c>
      <c r="P6" s="22" t="s">
        <v>241</v>
      </c>
      <c r="Q6" s="22"/>
      <c r="R6" s="22" t="s">
        <v>247</v>
      </c>
      <c r="S6" s="22" t="s">
        <v>248</v>
      </c>
      <c r="T6" s="22" t="s">
        <v>215</v>
      </c>
      <c r="U6" s="22" t="s">
        <v>215</v>
      </c>
    </row>
    <row r="7" spans="1:21" ht="14.45" customHeight="1">
      <c r="A7" s="14"/>
      <c r="B7" s="15"/>
      <c r="C7" s="15"/>
      <c r="D7" s="16"/>
      <c r="G7" s="11"/>
      <c r="H7" s="11" t="s">
        <v>420</v>
      </c>
      <c r="I7" s="11" t="s">
        <v>421</v>
      </c>
      <c r="J7" s="22" t="s">
        <v>249</v>
      </c>
      <c r="K7" s="22" t="s">
        <v>230</v>
      </c>
      <c r="L7" s="22" t="s">
        <v>231</v>
      </c>
      <c r="M7" s="22" t="s">
        <v>250</v>
      </c>
      <c r="N7" s="22" t="s">
        <v>251</v>
      </c>
      <c r="O7" s="22" t="s">
        <v>234</v>
      </c>
      <c r="P7" s="22" t="s">
        <v>235</v>
      </c>
      <c r="Q7" s="22"/>
      <c r="R7" s="22" t="s">
        <v>252</v>
      </c>
      <c r="S7" s="22" t="s">
        <v>253</v>
      </c>
      <c r="T7" s="22" t="s">
        <v>254</v>
      </c>
      <c r="U7" s="22" t="s">
        <v>215</v>
      </c>
    </row>
    <row r="8" spans="1:21" ht="14.45" customHeight="1" thickBot="1">
      <c r="A8" s="13"/>
      <c r="B8" s="17"/>
      <c r="C8" s="17"/>
      <c r="D8" s="18"/>
      <c r="G8" s="11"/>
      <c r="H8" s="11"/>
      <c r="I8" s="11" t="s">
        <v>420</v>
      </c>
      <c r="J8" s="21" t="s">
        <v>249</v>
      </c>
      <c r="K8" s="22" t="s">
        <v>245</v>
      </c>
      <c r="L8" s="22" t="s">
        <v>231</v>
      </c>
      <c r="M8" s="22" t="s">
        <v>250</v>
      </c>
      <c r="N8" s="22" t="s">
        <v>251</v>
      </c>
      <c r="O8" s="22" t="s">
        <v>234</v>
      </c>
      <c r="P8" s="22" t="s">
        <v>235</v>
      </c>
      <c r="Q8" s="22"/>
      <c r="R8" s="22" t="s">
        <v>256</v>
      </c>
      <c r="S8" s="22" t="s">
        <v>257</v>
      </c>
      <c r="T8" s="22" t="s">
        <v>215</v>
      </c>
      <c r="U8" s="22" t="s">
        <v>215</v>
      </c>
    </row>
    <row r="9" spans="1:21" ht="14.45" customHeight="1">
      <c r="G9" s="20"/>
      <c r="H9" s="20"/>
      <c r="I9" s="11" t="s">
        <v>417</v>
      </c>
      <c r="J9" s="21" t="s">
        <v>258</v>
      </c>
      <c r="K9" s="22" t="s">
        <v>230</v>
      </c>
      <c r="L9" s="22" t="s">
        <v>259</v>
      </c>
      <c r="M9" s="22" t="s">
        <v>514</v>
      </c>
      <c r="N9" s="22" t="s">
        <v>233</v>
      </c>
      <c r="O9" s="22" t="s">
        <v>234</v>
      </c>
      <c r="P9" s="22" t="s">
        <v>260</v>
      </c>
      <c r="Q9" s="22" t="s">
        <v>235</v>
      </c>
      <c r="R9" s="22" t="s">
        <v>261</v>
      </c>
      <c r="S9" s="22" t="s">
        <v>262</v>
      </c>
      <c r="T9" s="22" t="s">
        <v>215</v>
      </c>
      <c r="U9" s="22" t="s">
        <v>215</v>
      </c>
    </row>
    <row r="10" spans="1:21" ht="14.45" customHeight="1">
      <c r="I10" s="11" t="s">
        <v>418</v>
      </c>
      <c r="J10" s="263" t="s">
        <v>516</v>
      </c>
      <c r="K10" s="22" t="s">
        <v>413</v>
      </c>
      <c r="L10" s="22" t="s">
        <v>517</v>
      </c>
      <c r="M10" s="22" t="s">
        <v>514</v>
      </c>
      <c r="N10" s="22" t="s">
        <v>519</v>
      </c>
      <c r="O10" s="22" t="s">
        <v>520</v>
      </c>
      <c r="P10" s="22" t="s">
        <v>521</v>
      </c>
      <c r="Q10" s="22" t="s">
        <v>522</v>
      </c>
      <c r="R10" s="22" t="s">
        <v>523</v>
      </c>
      <c r="S10" s="22" t="s">
        <v>525</v>
      </c>
      <c r="T10" s="22" t="s">
        <v>215</v>
      </c>
      <c r="U10" s="22" t="s">
        <v>414</v>
      </c>
    </row>
    <row r="11" spans="1:21" ht="14.45" customHeight="1">
      <c r="I11" s="11" t="s">
        <v>419</v>
      </c>
      <c r="J11" s="268" t="s">
        <v>377</v>
      </c>
      <c r="K11" s="22" t="s">
        <v>230</v>
      </c>
      <c r="L11" s="22" t="s">
        <v>378</v>
      </c>
      <c r="M11" s="22" t="s">
        <v>379</v>
      </c>
      <c r="N11" s="22" t="s">
        <v>380</v>
      </c>
      <c r="O11" s="22" t="s">
        <v>234</v>
      </c>
      <c r="P11" s="22" t="s">
        <v>260</v>
      </c>
      <c r="Q11" s="22" t="s">
        <v>235</v>
      </c>
      <c r="R11" s="22" t="s">
        <v>381</v>
      </c>
      <c r="S11" s="22" t="s">
        <v>381</v>
      </c>
      <c r="T11" s="22" t="s">
        <v>215</v>
      </c>
      <c r="U11" s="22" t="s">
        <v>382</v>
      </c>
    </row>
    <row r="12" spans="1:21" ht="14.45" customHeight="1">
      <c r="I12" s="11" t="s">
        <v>425</v>
      </c>
      <c r="J12" s="251" t="s">
        <v>377</v>
      </c>
      <c r="K12" s="22" t="s">
        <v>413</v>
      </c>
      <c r="L12" s="22" t="s">
        <v>378</v>
      </c>
      <c r="M12" s="22" t="s">
        <v>379</v>
      </c>
      <c r="N12" s="22" t="s">
        <v>380</v>
      </c>
      <c r="O12" s="22" t="s">
        <v>234</v>
      </c>
      <c r="P12" s="22" t="s">
        <v>260</v>
      </c>
      <c r="Q12" s="22" t="s">
        <v>235</v>
      </c>
      <c r="R12" s="22" t="s">
        <v>381</v>
      </c>
      <c r="S12" s="22" t="s">
        <v>381</v>
      </c>
      <c r="T12" s="22" t="s">
        <v>215</v>
      </c>
      <c r="U12" s="22" t="s">
        <v>382</v>
      </c>
    </row>
    <row r="20" spans="7:8" ht="14.45" customHeight="1">
      <c r="G20" s="6"/>
      <c r="H20" s="6"/>
    </row>
    <row r="21" spans="7:8" ht="14.45" customHeight="1">
      <c r="G21" s="6"/>
      <c r="H21" s="6"/>
    </row>
    <row r="22" spans="7:8" ht="14.45" customHeight="1">
      <c r="G22" s="6"/>
      <c r="H22" s="6"/>
    </row>
    <row r="24" spans="7:8" ht="14.45" customHeight="1">
      <c r="G24" s="6"/>
      <c r="H24" s="6"/>
    </row>
    <row r="25" spans="7:8" ht="14.45" customHeight="1">
      <c r="G25" s="6"/>
      <c r="H25" s="6"/>
    </row>
    <row r="26" spans="7:8" ht="14.45" customHeight="1">
      <c r="G26" s="6"/>
      <c r="H26" s="6"/>
    </row>
    <row r="27" spans="7:8" ht="14.45" customHeight="1">
      <c r="G27" s="6"/>
      <c r="H27" s="6"/>
    </row>
  </sheetData>
  <sheetProtection algorithmName="SHA-512" hashValue="CCBktzp9nSj5QbnNiFrro1VpsNmWhmuSTdIXPdfFt7oX7MHxGpbPcGFZl+IrESaGGwj38y5hXfL6TjNj7wRdGA==" saltValue="7kVsVsP+5OaX56ut4G/5Mg==" spinCount="100000" sheet="1" objects="1" scenarios="1"/>
  <mergeCells count="6">
    <mergeCell ref="L1:M1"/>
    <mergeCell ref="R1:T1"/>
    <mergeCell ref="K1:K2"/>
    <mergeCell ref="U1:U2"/>
    <mergeCell ref="I1:J2"/>
    <mergeCell ref="N1:Q2"/>
  </mergeCells>
  <phoneticPr fontId="25"/>
  <pageMargins left="0.75" right="0.75" top="1" bottom="1" header="0.51180555555555596" footer="0.51180555555555596"/>
  <pageSetup paperSize="9" orientation="portrait" r:id="rId1"/>
  <headerFooter>
    <oddFooter>&amp;R雨水流出抑制計算ver3.1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CB48"/>
  <sheetViews>
    <sheetView zoomScale="130" zoomScaleNormal="130" workbookViewId="0"/>
  </sheetViews>
  <sheetFormatPr defaultColWidth="4.625" defaultRowHeight="14.45" customHeight="1"/>
  <cols>
    <col min="1" max="36" width="4.625" style="170"/>
    <col min="37" max="61" width="4.625" style="170" hidden="1" customWidth="1"/>
    <col min="62" max="63" width="0" style="170" hidden="1" customWidth="1"/>
    <col min="64" max="16384" width="4.625" style="170"/>
  </cols>
  <sheetData>
    <row r="2" spans="2:35" ht="14.45" customHeight="1">
      <c r="B2" s="170" t="s">
        <v>541</v>
      </c>
      <c r="T2" s="170" t="s">
        <v>542</v>
      </c>
    </row>
    <row r="3" spans="2:35" ht="14.45" customHeight="1">
      <c r="B3" s="759" t="s">
        <v>164</v>
      </c>
      <c r="C3" s="759"/>
      <c r="D3" s="759"/>
      <c r="E3" s="759"/>
      <c r="F3" s="888" t="s">
        <v>516</v>
      </c>
      <c r="G3" s="889"/>
      <c r="H3" s="889"/>
      <c r="I3" s="889"/>
      <c r="J3" s="889"/>
      <c r="K3" s="889"/>
      <c r="L3" s="889"/>
      <c r="M3" s="889"/>
      <c r="N3" s="889"/>
      <c r="O3" s="889"/>
      <c r="P3" s="889"/>
      <c r="Q3" s="890"/>
      <c r="T3" s="759" t="s">
        <v>164</v>
      </c>
      <c r="U3" s="759"/>
      <c r="V3" s="759"/>
      <c r="W3" s="759"/>
      <c r="X3" s="888" t="s">
        <v>258</v>
      </c>
      <c r="Y3" s="889"/>
      <c r="Z3" s="889"/>
      <c r="AA3" s="889"/>
      <c r="AB3" s="889"/>
      <c r="AC3" s="889"/>
      <c r="AD3" s="889"/>
      <c r="AE3" s="889"/>
      <c r="AF3" s="889"/>
      <c r="AG3" s="889"/>
      <c r="AH3" s="889"/>
      <c r="AI3" s="890"/>
    </row>
    <row r="4" spans="2:35" ht="14.45" customHeight="1">
      <c r="B4" s="759" t="s">
        <v>165</v>
      </c>
      <c r="C4" s="759"/>
      <c r="D4" s="759"/>
      <c r="E4" s="759"/>
      <c r="F4" s="888" t="s">
        <v>413</v>
      </c>
      <c r="G4" s="889"/>
      <c r="H4" s="889"/>
      <c r="I4" s="889"/>
      <c r="J4" s="889"/>
      <c r="K4" s="889"/>
      <c r="L4" s="889"/>
      <c r="M4" s="889"/>
      <c r="N4" s="889"/>
      <c r="O4" s="889"/>
      <c r="P4" s="889"/>
      <c r="Q4" s="890"/>
      <c r="T4" s="759" t="s">
        <v>165</v>
      </c>
      <c r="U4" s="759"/>
      <c r="V4" s="759"/>
      <c r="W4" s="759"/>
      <c r="X4" s="888" t="s">
        <v>531</v>
      </c>
      <c r="Y4" s="889"/>
      <c r="Z4" s="889"/>
      <c r="AA4" s="889"/>
      <c r="AB4" s="889"/>
      <c r="AC4" s="889"/>
      <c r="AD4" s="889"/>
      <c r="AE4" s="889"/>
      <c r="AF4" s="889"/>
      <c r="AG4" s="889"/>
      <c r="AH4" s="889"/>
      <c r="AI4" s="890"/>
    </row>
    <row r="5" spans="2:35" ht="14.45" customHeight="1">
      <c r="B5" s="527" t="s">
        <v>515</v>
      </c>
      <c r="C5" s="528"/>
      <c r="D5" s="528"/>
      <c r="E5" s="529"/>
      <c r="F5" s="307"/>
      <c r="G5" s="308"/>
      <c r="H5" s="308"/>
      <c r="I5" s="308"/>
      <c r="J5" s="308"/>
      <c r="K5" s="308"/>
      <c r="L5" s="308"/>
      <c r="M5" s="308"/>
      <c r="N5" s="308"/>
      <c r="O5" s="308"/>
      <c r="P5" s="308"/>
      <c r="Q5" s="309"/>
      <c r="T5" s="527" t="s">
        <v>515</v>
      </c>
      <c r="U5" s="528"/>
      <c r="V5" s="528"/>
      <c r="W5" s="529"/>
      <c r="X5" s="307"/>
      <c r="Y5" s="308"/>
      <c r="Z5" s="308"/>
      <c r="AA5" s="308"/>
      <c r="AB5" s="308"/>
      <c r="AC5" s="308"/>
      <c r="AD5" s="308"/>
      <c r="AE5" s="308"/>
      <c r="AF5" s="308"/>
      <c r="AG5" s="308"/>
      <c r="AH5" s="308"/>
      <c r="AI5" s="309"/>
    </row>
    <row r="6" spans="2:35" ht="14.45" customHeight="1">
      <c r="B6" s="881"/>
      <c r="C6" s="906"/>
      <c r="D6" s="906"/>
      <c r="E6" s="907"/>
      <c r="F6" s="312"/>
      <c r="G6" s="313"/>
      <c r="H6" s="313"/>
      <c r="I6" s="313"/>
      <c r="J6" s="313"/>
      <c r="K6" s="313"/>
      <c r="L6" s="313"/>
      <c r="M6" s="313"/>
      <c r="N6" s="313"/>
      <c r="O6" s="313"/>
      <c r="P6" s="313"/>
      <c r="Q6" s="314"/>
      <c r="T6" s="881"/>
      <c r="U6" s="906"/>
      <c r="V6" s="906"/>
      <c r="W6" s="907"/>
      <c r="X6" s="312"/>
      <c r="Y6" s="313"/>
      <c r="Z6" s="313"/>
      <c r="AA6" s="313"/>
      <c r="AB6" s="313"/>
      <c r="AC6" s="313"/>
      <c r="AD6" s="313"/>
      <c r="AE6" s="313"/>
      <c r="AF6" s="313"/>
      <c r="AG6" s="313"/>
      <c r="AH6" s="313"/>
      <c r="AI6" s="314"/>
    </row>
    <row r="7" spans="2:35" ht="14.45" customHeight="1">
      <c r="B7" s="881"/>
      <c r="C7" s="906"/>
      <c r="D7" s="906"/>
      <c r="E7" s="907"/>
      <c r="F7" s="312"/>
      <c r="G7" s="313"/>
      <c r="H7" s="313"/>
      <c r="I7" s="313"/>
      <c r="J7" s="313"/>
      <c r="K7" s="313"/>
      <c r="L7" s="313"/>
      <c r="M7" s="313"/>
      <c r="N7" s="313"/>
      <c r="O7" s="313"/>
      <c r="P7" s="313"/>
      <c r="Q7" s="314"/>
      <c r="T7" s="881"/>
      <c r="U7" s="906"/>
      <c r="V7" s="906"/>
      <c r="W7" s="907"/>
      <c r="X7" s="312"/>
      <c r="Y7" s="313"/>
      <c r="Z7" s="313"/>
      <c r="AA7" s="313"/>
      <c r="AB7" s="313"/>
      <c r="AC7" s="313"/>
      <c r="AD7" s="313"/>
      <c r="AE7" s="313"/>
      <c r="AF7" s="313"/>
      <c r="AG7" s="313"/>
      <c r="AH7" s="313"/>
      <c r="AI7" s="314"/>
    </row>
    <row r="8" spans="2:35" ht="14.45" customHeight="1">
      <c r="B8" s="530"/>
      <c r="C8" s="531"/>
      <c r="D8" s="531"/>
      <c r="E8" s="532"/>
      <c r="F8" s="315"/>
      <c r="G8" s="316"/>
      <c r="H8" s="316"/>
      <c r="I8" s="316"/>
      <c r="J8" s="316"/>
      <c r="K8" s="316"/>
      <c r="L8" s="316"/>
      <c r="M8" s="316"/>
      <c r="N8" s="316"/>
      <c r="O8" s="316"/>
      <c r="P8" s="316"/>
      <c r="Q8" s="317"/>
      <c r="T8" s="530"/>
      <c r="U8" s="531"/>
      <c r="V8" s="531"/>
      <c r="W8" s="532"/>
      <c r="X8" s="315"/>
      <c r="Y8" s="316"/>
      <c r="Z8" s="316"/>
      <c r="AA8" s="316"/>
      <c r="AB8" s="316"/>
      <c r="AC8" s="316"/>
      <c r="AD8" s="316"/>
      <c r="AE8" s="316"/>
      <c r="AF8" s="316"/>
      <c r="AG8" s="316"/>
      <c r="AH8" s="316"/>
      <c r="AI8" s="317"/>
    </row>
    <row r="9" spans="2:35" ht="14.45" customHeight="1">
      <c r="B9" s="884" t="s">
        <v>166</v>
      </c>
      <c r="C9" s="884"/>
      <c r="D9" s="901" t="s">
        <v>167</v>
      </c>
      <c r="E9" s="901"/>
      <c r="F9" s="888" t="s">
        <v>517</v>
      </c>
      <c r="G9" s="889"/>
      <c r="H9" s="889"/>
      <c r="I9" s="889"/>
      <c r="J9" s="889"/>
      <c r="K9" s="889"/>
      <c r="L9" s="889"/>
      <c r="M9" s="889"/>
      <c r="N9" s="889"/>
      <c r="O9" s="889"/>
      <c r="P9" s="889"/>
      <c r="Q9" s="890"/>
      <c r="T9" s="884" t="s">
        <v>166</v>
      </c>
      <c r="U9" s="884"/>
      <c r="V9" s="901" t="s">
        <v>167</v>
      </c>
      <c r="W9" s="901"/>
      <c r="X9" s="888" t="s">
        <v>259</v>
      </c>
      <c r="Y9" s="889"/>
      <c r="Z9" s="889"/>
      <c r="AA9" s="889"/>
      <c r="AB9" s="889"/>
      <c r="AC9" s="889"/>
      <c r="AD9" s="889"/>
      <c r="AE9" s="889"/>
      <c r="AF9" s="889"/>
      <c r="AG9" s="889"/>
      <c r="AH9" s="889"/>
      <c r="AI9" s="890"/>
    </row>
    <row r="10" spans="2:35" ht="14.45" customHeight="1">
      <c r="B10" s="885"/>
      <c r="C10" s="885"/>
      <c r="D10" s="902" t="s">
        <v>168</v>
      </c>
      <c r="E10" s="902"/>
      <c r="F10" s="888" t="s">
        <v>518</v>
      </c>
      <c r="G10" s="889"/>
      <c r="H10" s="889"/>
      <c r="I10" s="889"/>
      <c r="J10" s="889"/>
      <c r="K10" s="889"/>
      <c r="L10" s="889"/>
      <c r="M10" s="889"/>
      <c r="N10" s="889"/>
      <c r="O10" s="889"/>
      <c r="P10" s="889"/>
      <c r="Q10" s="890"/>
      <c r="T10" s="885"/>
      <c r="U10" s="885"/>
      <c r="V10" s="902" t="s">
        <v>168</v>
      </c>
      <c r="W10" s="902"/>
      <c r="X10" s="888" t="s">
        <v>735</v>
      </c>
      <c r="Y10" s="889"/>
      <c r="Z10" s="889"/>
      <c r="AA10" s="889"/>
      <c r="AB10" s="889"/>
      <c r="AC10" s="889"/>
      <c r="AD10" s="889"/>
      <c r="AE10" s="889"/>
      <c r="AF10" s="889"/>
      <c r="AG10" s="889"/>
      <c r="AH10" s="889"/>
      <c r="AI10" s="890"/>
    </row>
    <row r="11" spans="2:35" ht="14.45" customHeight="1">
      <c r="B11" s="759" t="s">
        <v>169</v>
      </c>
      <c r="C11" s="759"/>
      <c r="D11" s="759"/>
      <c r="E11" s="759"/>
      <c r="F11" s="894" t="s">
        <v>519</v>
      </c>
      <c r="G11" s="895"/>
      <c r="H11" s="895"/>
      <c r="I11" s="895"/>
      <c r="J11" s="895"/>
      <c r="K11" s="895"/>
      <c r="L11" s="895"/>
      <c r="M11" s="895"/>
      <c r="N11" s="895"/>
      <c r="O11" s="895"/>
      <c r="P11" s="895"/>
      <c r="Q11" s="896"/>
      <c r="T11" s="759" t="s">
        <v>169</v>
      </c>
      <c r="U11" s="759"/>
      <c r="V11" s="759"/>
      <c r="W11" s="759"/>
      <c r="X11" s="894" t="s">
        <v>736</v>
      </c>
      <c r="Y11" s="895"/>
      <c r="Z11" s="895"/>
      <c r="AA11" s="895"/>
      <c r="AB11" s="895"/>
      <c r="AC11" s="895"/>
      <c r="AD11" s="895"/>
      <c r="AE11" s="895"/>
      <c r="AF11" s="895"/>
      <c r="AG11" s="895"/>
      <c r="AH11" s="895"/>
      <c r="AI11" s="896"/>
    </row>
    <row r="12" spans="2:35" ht="14.45" customHeight="1">
      <c r="B12" s="759"/>
      <c r="C12" s="759"/>
      <c r="D12" s="759"/>
      <c r="E12" s="759"/>
      <c r="F12" s="903" t="s">
        <v>527</v>
      </c>
      <c r="G12" s="904"/>
      <c r="H12" s="904"/>
      <c r="I12" s="904"/>
      <c r="J12" s="904"/>
      <c r="K12" s="904"/>
      <c r="L12" s="904"/>
      <c r="M12" s="904"/>
      <c r="N12" s="904"/>
      <c r="O12" s="904"/>
      <c r="P12" s="904"/>
      <c r="Q12" s="905"/>
      <c r="T12" s="759"/>
      <c r="U12" s="759"/>
      <c r="V12" s="759"/>
      <c r="W12" s="759"/>
      <c r="X12" s="903" t="s">
        <v>737</v>
      </c>
      <c r="Y12" s="904"/>
      <c r="Z12" s="904"/>
      <c r="AA12" s="904"/>
      <c r="AB12" s="904"/>
      <c r="AC12" s="904"/>
      <c r="AD12" s="904"/>
      <c r="AE12" s="904"/>
      <c r="AF12" s="904"/>
      <c r="AG12" s="904"/>
      <c r="AH12" s="904"/>
      <c r="AI12" s="905"/>
    </row>
    <row r="13" spans="2:35" ht="14.45" customHeight="1">
      <c r="B13" s="891" t="s">
        <v>170</v>
      </c>
      <c r="C13" s="891"/>
      <c r="D13" s="759" t="s">
        <v>171</v>
      </c>
      <c r="E13" s="759"/>
      <c r="F13" s="894" t="s">
        <v>524</v>
      </c>
      <c r="G13" s="895"/>
      <c r="H13" s="895"/>
      <c r="I13" s="895"/>
      <c r="J13" s="895"/>
      <c r="K13" s="895"/>
      <c r="L13" s="895"/>
      <c r="M13" s="895"/>
      <c r="N13" s="895"/>
      <c r="O13" s="895"/>
      <c r="P13" s="895"/>
      <c r="Q13" s="896"/>
      <c r="T13" s="891" t="s">
        <v>170</v>
      </c>
      <c r="U13" s="891"/>
      <c r="V13" s="759" t="s">
        <v>171</v>
      </c>
      <c r="W13" s="759"/>
      <c r="X13" s="894" t="s">
        <v>734</v>
      </c>
      <c r="Y13" s="895"/>
      <c r="Z13" s="895"/>
      <c r="AA13" s="895"/>
      <c r="AB13" s="895"/>
      <c r="AC13" s="895"/>
      <c r="AD13" s="895"/>
      <c r="AE13" s="895"/>
      <c r="AF13" s="895"/>
      <c r="AG13" s="895"/>
      <c r="AH13" s="895"/>
      <c r="AI13" s="896"/>
    </row>
    <row r="14" spans="2:35" ht="14.45" customHeight="1">
      <c r="B14" s="759"/>
      <c r="C14" s="759"/>
      <c r="D14" s="881" t="s">
        <v>172</v>
      </c>
      <c r="E14" s="882"/>
      <c r="F14" s="894" t="s">
        <v>728</v>
      </c>
      <c r="G14" s="895"/>
      <c r="H14" s="895"/>
      <c r="I14" s="895"/>
      <c r="J14" s="895"/>
      <c r="K14" s="895"/>
      <c r="L14" s="895"/>
      <c r="M14" s="895"/>
      <c r="N14" s="895"/>
      <c r="O14" s="895"/>
      <c r="P14" s="895"/>
      <c r="Q14" s="896"/>
      <c r="T14" s="759"/>
      <c r="U14" s="759"/>
      <c r="V14" s="881" t="s">
        <v>172</v>
      </c>
      <c r="W14" s="882"/>
      <c r="X14" s="894" t="s">
        <v>728</v>
      </c>
      <c r="Y14" s="895"/>
      <c r="Z14" s="895"/>
      <c r="AA14" s="895"/>
      <c r="AB14" s="895"/>
      <c r="AC14" s="895"/>
      <c r="AD14" s="895"/>
      <c r="AE14" s="895"/>
      <c r="AF14" s="895"/>
      <c r="AG14" s="895"/>
      <c r="AH14" s="895"/>
      <c r="AI14" s="896"/>
    </row>
    <row r="15" spans="2:35" ht="14.45" customHeight="1">
      <c r="B15" s="892"/>
      <c r="C15" s="892"/>
      <c r="D15" s="892" t="s">
        <v>173</v>
      </c>
      <c r="E15" s="892"/>
      <c r="F15" s="897" t="s">
        <v>344</v>
      </c>
      <c r="G15" s="898"/>
      <c r="H15" s="898"/>
      <c r="I15" s="898"/>
      <c r="J15" s="898"/>
      <c r="K15" s="898"/>
      <c r="L15" s="898"/>
      <c r="M15" s="898"/>
      <c r="N15" s="898"/>
      <c r="O15" s="898"/>
      <c r="P15" s="898"/>
      <c r="Q15" s="899"/>
      <c r="T15" s="892"/>
      <c r="U15" s="892"/>
      <c r="V15" s="892" t="s">
        <v>173</v>
      </c>
      <c r="W15" s="892"/>
      <c r="X15" s="897" t="s">
        <v>215</v>
      </c>
      <c r="Y15" s="898"/>
      <c r="Z15" s="898"/>
      <c r="AA15" s="898"/>
      <c r="AB15" s="898"/>
      <c r="AC15" s="898"/>
      <c r="AD15" s="898"/>
      <c r="AE15" s="898"/>
      <c r="AF15" s="898"/>
      <c r="AG15" s="898"/>
      <c r="AH15" s="898"/>
      <c r="AI15" s="899"/>
    </row>
    <row r="16" spans="2:35" ht="14.45" customHeight="1">
      <c r="B16" s="759" t="s">
        <v>27</v>
      </c>
      <c r="C16" s="759"/>
      <c r="D16" s="759"/>
      <c r="E16" s="759"/>
      <c r="F16" s="888" t="s">
        <v>526</v>
      </c>
      <c r="G16" s="889"/>
      <c r="H16" s="889"/>
      <c r="I16" s="889"/>
      <c r="J16" s="889"/>
      <c r="K16" s="889"/>
      <c r="L16" s="889"/>
      <c r="M16" s="889"/>
      <c r="N16" s="889"/>
      <c r="O16" s="889"/>
      <c r="P16" s="889"/>
      <c r="Q16" s="890"/>
      <c r="T16" s="759" t="s">
        <v>27</v>
      </c>
      <c r="U16" s="759"/>
      <c r="V16" s="759"/>
      <c r="W16" s="759"/>
      <c r="X16" s="888" t="s">
        <v>215</v>
      </c>
      <c r="Y16" s="889"/>
      <c r="Z16" s="889"/>
      <c r="AA16" s="889"/>
      <c r="AB16" s="889"/>
      <c r="AC16" s="889"/>
      <c r="AD16" s="889"/>
      <c r="AE16" s="889"/>
      <c r="AF16" s="889"/>
      <c r="AG16" s="889"/>
      <c r="AH16" s="889"/>
      <c r="AI16" s="890"/>
    </row>
    <row r="18" spans="2:80" ht="14.45" customHeight="1">
      <c r="B18" s="170" t="s">
        <v>545</v>
      </c>
      <c r="T18" s="170" t="s">
        <v>546</v>
      </c>
      <c r="BM18" s="170" t="s">
        <v>791</v>
      </c>
    </row>
    <row r="19" spans="2:80" ht="14.45" customHeight="1">
      <c r="B19" s="759" t="s">
        <v>164</v>
      </c>
      <c r="C19" s="759"/>
      <c r="D19" s="759"/>
      <c r="E19" s="759"/>
      <c r="F19" s="888" t="s">
        <v>528</v>
      </c>
      <c r="G19" s="889"/>
      <c r="H19" s="889"/>
      <c r="I19" s="889"/>
      <c r="J19" s="889"/>
      <c r="K19" s="889"/>
      <c r="L19" s="889"/>
      <c r="M19" s="889"/>
      <c r="N19" s="889"/>
      <c r="O19" s="889"/>
      <c r="P19" s="889"/>
      <c r="Q19" s="890"/>
      <c r="T19" s="759" t="s">
        <v>164</v>
      </c>
      <c r="U19" s="759"/>
      <c r="V19" s="759"/>
      <c r="W19" s="759"/>
      <c r="X19" s="888" t="s">
        <v>528</v>
      </c>
      <c r="Y19" s="889"/>
      <c r="Z19" s="889"/>
      <c r="AA19" s="889"/>
      <c r="AB19" s="889"/>
      <c r="AC19" s="889"/>
      <c r="AD19" s="889"/>
      <c r="AE19" s="889"/>
      <c r="AF19" s="889"/>
      <c r="AG19" s="889"/>
      <c r="AH19" s="889"/>
      <c r="AI19" s="890"/>
      <c r="BM19" s="759" t="s">
        <v>164</v>
      </c>
      <c r="BN19" s="759"/>
      <c r="BO19" s="759"/>
      <c r="BP19" s="759"/>
      <c r="BQ19" s="888" t="s">
        <v>528</v>
      </c>
      <c r="BR19" s="889"/>
      <c r="BS19" s="889"/>
      <c r="BT19" s="889"/>
      <c r="BU19" s="889"/>
      <c r="BV19" s="889"/>
      <c r="BW19" s="889"/>
      <c r="BX19" s="889"/>
      <c r="BY19" s="889"/>
      <c r="BZ19" s="889"/>
      <c r="CA19" s="889"/>
      <c r="CB19" s="890"/>
    </row>
    <row r="20" spans="2:80" ht="14.45" customHeight="1">
      <c r="B20" s="759" t="s">
        <v>165</v>
      </c>
      <c r="C20" s="759"/>
      <c r="D20" s="759"/>
      <c r="E20" s="759"/>
      <c r="F20" s="888" t="s">
        <v>531</v>
      </c>
      <c r="G20" s="889"/>
      <c r="H20" s="889"/>
      <c r="I20" s="889"/>
      <c r="J20" s="889"/>
      <c r="K20" s="889"/>
      <c r="L20" s="889"/>
      <c r="M20" s="889"/>
      <c r="N20" s="889"/>
      <c r="O20" s="889"/>
      <c r="P20" s="889"/>
      <c r="Q20" s="890"/>
      <c r="T20" s="759" t="s">
        <v>165</v>
      </c>
      <c r="U20" s="759"/>
      <c r="V20" s="759"/>
      <c r="W20" s="759"/>
      <c r="X20" s="888" t="s">
        <v>531</v>
      </c>
      <c r="Y20" s="889"/>
      <c r="Z20" s="889"/>
      <c r="AA20" s="889"/>
      <c r="AB20" s="889"/>
      <c r="AC20" s="889"/>
      <c r="AD20" s="889"/>
      <c r="AE20" s="889"/>
      <c r="AF20" s="889"/>
      <c r="AG20" s="889"/>
      <c r="AH20" s="889"/>
      <c r="AI20" s="890"/>
      <c r="BM20" s="759" t="s">
        <v>165</v>
      </c>
      <c r="BN20" s="759"/>
      <c r="BO20" s="759"/>
      <c r="BP20" s="759"/>
      <c r="BQ20" s="888" t="s">
        <v>531</v>
      </c>
      <c r="BR20" s="889"/>
      <c r="BS20" s="889"/>
      <c r="BT20" s="889"/>
      <c r="BU20" s="889"/>
      <c r="BV20" s="889"/>
      <c r="BW20" s="889"/>
      <c r="BX20" s="889"/>
      <c r="BY20" s="889"/>
      <c r="BZ20" s="889"/>
      <c r="CA20" s="889"/>
      <c r="CB20" s="890"/>
    </row>
    <row r="21" spans="2:80" ht="14.45" customHeight="1">
      <c r="B21" s="527" t="s">
        <v>515</v>
      </c>
      <c r="C21" s="528"/>
      <c r="D21" s="528"/>
      <c r="E21" s="529"/>
      <c r="F21" s="307"/>
      <c r="G21" s="308"/>
      <c r="H21" s="308"/>
      <c r="I21" s="308"/>
      <c r="J21" s="308"/>
      <c r="K21" s="308"/>
      <c r="L21" s="308"/>
      <c r="M21" s="308"/>
      <c r="N21" s="308"/>
      <c r="O21" s="308"/>
      <c r="P21" s="308"/>
      <c r="Q21" s="309"/>
      <c r="T21" s="527" t="s">
        <v>515</v>
      </c>
      <c r="U21" s="528"/>
      <c r="V21" s="528"/>
      <c r="W21" s="529"/>
      <c r="X21" s="307"/>
      <c r="Y21" s="308"/>
      <c r="Z21" s="308"/>
      <c r="AA21" s="308"/>
      <c r="AB21" s="308"/>
      <c r="AC21" s="308"/>
      <c r="AD21" s="308"/>
      <c r="AE21" s="308"/>
      <c r="AF21" s="308"/>
      <c r="AG21" s="308"/>
      <c r="AH21" s="308"/>
      <c r="AI21" s="309"/>
      <c r="BM21" s="527" t="s">
        <v>515</v>
      </c>
      <c r="BN21" s="528"/>
      <c r="BO21" s="528"/>
      <c r="BP21" s="529"/>
      <c r="BQ21" s="418"/>
      <c r="BR21" s="419"/>
      <c r="BS21" s="419"/>
      <c r="BT21" s="419"/>
      <c r="BU21" s="419"/>
      <c r="BV21" s="419"/>
      <c r="BW21" s="419"/>
      <c r="BX21" s="419"/>
      <c r="BY21" s="419"/>
      <c r="BZ21" s="419"/>
      <c r="CA21" s="419"/>
      <c r="CB21" s="420"/>
    </row>
    <row r="22" spans="2:80" ht="14.45" customHeight="1">
      <c r="B22" s="881"/>
      <c r="C22" s="906"/>
      <c r="D22" s="906"/>
      <c r="E22" s="907"/>
      <c r="F22" s="312"/>
      <c r="G22" s="313"/>
      <c r="H22" s="313"/>
      <c r="I22" s="313"/>
      <c r="J22" s="313"/>
      <c r="K22" s="313"/>
      <c r="L22" s="313"/>
      <c r="M22" s="313"/>
      <c r="N22" s="313"/>
      <c r="O22" s="313"/>
      <c r="P22" s="313"/>
      <c r="Q22" s="314"/>
      <c r="T22" s="881"/>
      <c r="U22" s="906"/>
      <c r="V22" s="906"/>
      <c r="W22" s="907"/>
      <c r="X22" s="312"/>
      <c r="Y22" s="313"/>
      <c r="Z22" s="313"/>
      <c r="AA22" s="313"/>
      <c r="AB22" s="313"/>
      <c r="AC22" s="313"/>
      <c r="AD22" s="313"/>
      <c r="AE22" s="313"/>
      <c r="AF22" s="313"/>
      <c r="AG22" s="313"/>
      <c r="AH22" s="313"/>
      <c r="AI22" s="314"/>
      <c r="BM22" s="881"/>
      <c r="BN22" s="906"/>
      <c r="BO22" s="906"/>
      <c r="BP22" s="907"/>
      <c r="BQ22" s="312"/>
      <c r="BR22" s="313"/>
      <c r="BS22" s="313"/>
      <c r="BT22" s="313"/>
      <c r="BU22" s="313"/>
      <c r="BV22" s="313"/>
      <c r="BW22" s="313"/>
      <c r="BX22" s="313"/>
      <c r="BY22" s="313"/>
      <c r="BZ22" s="313"/>
      <c r="CA22" s="313"/>
      <c r="CB22" s="314"/>
    </row>
    <row r="23" spans="2:80" ht="14.45" customHeight="1">
      <c r="B23" s="881"/>
      <c r="C23" s="906"/>
      <c r="D23" s="906"/>
      <c r="E23" s="907"/>
      <c r="F23" s="312"/>
      <c r="G23" s="313"/>
      <c r="H23" s="313"/>
      <c r="I23" s="313"/>
      <c r="J23" s="313"/>
      <c r="K23" s="313"/>
      <c r="L23" s="313"/>
      <c r="M23" s="313"/>
      <c r="N23" s="313"/>
      <c r="O23" s="313"/>
      <c r="P23" s="313"/>
      <c r="Q23" s="314"/>
      <c r="T23" s="881"/>
      <c r="U23" s="906"/>
      <c r="V23" s="906"/>
      <c r="W23" s="907"/>
      <c r="X23" s="312"/>
      <c r="Y23" s="313"/>
      <c r="Z23" s="313"/>
      <c r="AA23" s="313"/>
      <c r="AB23" s="313"/>
      <c r="AC23" s="313"/>
      <c r="AD23" s="313"/>
      <c r="AE23" s="313"/>
      <c r="AF23" s="313"/>
      <c r="AG23" s="313"/>
      <c r="AH23" s="313"/>
      <c r="AI23" s="314"/>
      <c r="BM23" s="881"/>
      <c r="BN23" s="906"/>
      <c r="BO23" s="906"/>
      <c r="BP23" s="907"/>
      <c r="BQ23" s="312"/>
      <c r="BR23" s="313"/>
      <c r="BS23" s="313"/>
      <c r="BT23" s="313"/>
      <c r="BU23" s="313"/>
      <c r="BV23" s="313"/>
      <c r="BW23" s="313"/>
      <c r="BX23" s="313"/>
      <c r="BY23" s="313"/>
      <c r="BZ23" s="313"/>
      <c r="CA23" s="313"/>
      <c r="CB23" s="314"/>
    </row>
    <row r="24" spans="2:80" ht="14.45" customHeight="1">
      <c r="B24" s="530"/>
      <c r="C24" s="531"/>
      <c r="D24" s="531"/>
      <c r="E24" s="532"/>
      <c r="F24" s="315"/>
      <c r="G24" s="316"/>
      <c r="H24" s="316"/>
      <c r="I24" s="316"/>
      <c r="J24" s="316"/>
      <c r="K24" s="316"/>
      <c r="L24" s="316"/>
      <c r="M24" s="316"/>
      <c r="N24" s="316"/>
      <c r="O24" s="316"/>
      <c r="P24" s="316"/>
      <c r="Q24" s="317"/>
      <c r="T24" s="530"/>
      <c r="U24" s="531"/>
      <c r="V24" s="531"/>
      <c r="W24" s="532"/>
      <c r="X24" s="315"/>
      <c r="Y24" s="316"/>
      <c r="Z24" s="316"/>
      <c r="AA24" s="316"/>
      <c r="AB24" s="316"/>
      <c r="AC24" s="316"/>
      <c r="AD24" s="316"/>
      <c r="AE24" s="316"/>
      <c r="AF24" s="316"/>
      <c r="AG24" s="316"/>
      <c r="AH24" s="316"/>
      <c r="AI24" s="317"/>
      <c r="BM24" s="530"/>
      <c r="BN24" s="531"/>
      <c r="BO24" s="531"/>
      <c r="BP24" s="532"/>
      <c r="BQ24" s="421"/>
      <c r="BR24" s="422"/>
      <c r="BS24" s="422"/>
      <c r="BT24" s="422"/>
      <c r="BU24" s="422"/>
      <c r="BV24" s="422"/>
      <c r="BW24" s="422"/>
      <c r="BX24" s="422"/>
      <c r="BY24" s="422"/>
      <c r="BZ24" s="422"/>
      <c r="CA24" s="422"/>
      <c r="CB24" s="423"/>
    </row>
    <row r="25" spans="2:80" ht="14.45" customHeight="1">
      <c r="B25" s="884" t="s">
        <v>166</v>
      </c>
      <c r="C25" s="884"/>
      <c r="D25" s="901" t="s">
        <v>167</v>
      </c>
      <c r="E25" s="901"/>
      <c r="F25" s="888" t="s">
        <v>529</v>
      </c>
      <c r="G25" s="889"/>
      <c r="H25" s="889"/>
      <c r="I25" s="889"/>
      <c r="J25" s="889"/>
      <c r="K25" s="889"/>
      <c r="L25" s="889"/>
      <c r="M25" s="889"/>
      <c r="N25" s="889"/>
      <c r="O25" s="889"/>
      <c r="P25" s="889"/>
      <c r="Q25" s="890"/>
      <c r="T25" s="884" t="s">
        <v>166</v>
      </c>
      <c r="U25" s="884"/>
      <c r="V25" s="901" t="s">
        <v>167</v>
      </c>
      <c r="W25" s="901"/>
      <c r="X25" s="888" t="s">
        <v>529</v>
      </c>
      <c r="Y25" s="889"/>
      <c r="Z25" s="889"/>
      <c r="AA25" s="889"/>
      <c r="AB25" s="889"/>
      <c r="AC25" s="889"/>
      <c r="AD25" s="889"/>
      <c r="AE25" s="889"/>
      <c r="AF25" s="889"/>
      <c r="AG25" s="889"/>
      <c r="AH25" s="889"/>
      <c r="AI25" s="890"/>
      <c r="BM25" s="884" t="s">
        <v>166</v>
      </c>
      <c r="BN25" s="884"/>
      <c r="BO25" s="901" t="s">
        <v>167</v>
      </c>
      <c r="BP25" s="901"/>
      <c r="BQ25" s="888" t="s">
        <v>529</v>
      </c>
      <c r="BR25" s="889"/>
      <c r="BS25" s="889"/>
      <c r="BT25" s="889"/>
      <c r="BU25" s="889"/>
      <c r="BV25" s="889"/>
      <c r="BW25" s="889"/>
      <c r="BX25" s="889"/>
      <c r="BY25" s="889"/>
      <c r="BZ25" s="889"/>
      <c r="CA25" s="889"/>
      <c r="CB25" s="890"/>
    </row>
    <row r="26" spans="2:80" ht="14.45" customHeight="1">
      <c r="B26" s="885"/>
      <c r="C26" s="885"/>
      <c r="D26" s="902" t="s">
        <v>168</v>
      </c>
      <c r="E26" s="902"/>
      <c r="F26" s="888" t="s">
        <v>532</v>
      </c>
      <c r="G26" s="889"/>
      <c r="H26" s="889"/>
      <c r="I26" s="889"/>
      <c r="J26" s="889"/>
      <c r="K26" s="889"/>
      <c r="L26" s="888" t="s">
        <v>533</v>
      </c>
      <c r="M26" s="889"/>
      <c r="N26" s="889"/>
      <c r="O26" s="889"/>
      <c r="P26" s="889"/>
      <c r="Q26" s="890"/>
      <c r="T26" s="885"/>
      <c r="U26" s="885"/>
      <c r="V26" s="902" t="s">
        <v>168</v>
      </c>
      <c r="W26" s="902"/>
      <c r="X26" s="888" t="s">
        <v>533</v>
      </c>
      <c r="Y26" s="889"/>
      <c r="Z26" s="889"/>
      <c r="AA26" s="889"/>
      <c r="AB26" s="889"/>
      <c r="AC26" s="889"/>
      <c r="AD26" s="888" t="s">
        <v>536</v>
      </c>
      <c r="AE26" s="889"/>
      <c r="AF26" s="889"/>
      <c r="AG26" s="889"/>
      <c r="AH26" s="889"/>
      <c r="AI26" s="890"/>
      <c r="BM26" s="885"/>
      <c r="BN26" s="885"/>
      <c r="BO26" s="902" t="s">
        <v>168</v>
      </c>
      <c r="BP26" s="902"/>
      <c r="BQ26" s="888" t="s">
        <v>536</v>
      </c>
      <c r="BR26" s="889"/>
      <c r="BS26" s="889"/>
      <c r="BT26" s="889"/>
      <c r="BU26" s="889"/>
      <c r="BV26" s="889"/>
      <c r="BW26" s="888" t="s">
        <v>794</v>
      </c>
      <c r="BX26" s="889"/>
      <c r="BY26" s="889"/>
      <c r="BZ26" s="889"/>
      <c r="CA26" s="889"/>
      <c r="CB26" s="890"/>
    </row>
    <row r="27" spans="2:80" ht="14.45" customHeight="1">
      <c r="B27" s="759" t="s">
        <v>169</v>
      </c>
      <c r="C27" s="759"/>
      <c r="D27" s="759"/>
      <c r="E27" s="759"/>
      <c r="F27" s="894" t="s">
        <v>530</v>
      </c>
      <c r="G27" s="895"/>
      <c r="H27" s="895"/>
      <c r="I27" s="895"/>
      <c r="J27" s="895"/>
      <c r="K27" s="895"/>
      <c r="L27" s="895"/>
      <c r="M27" s="895"/>
      <c r="N27" s="895"/>
      <c r="O27" s="895"/>
      <c r="P27" s="895"/>
      <c r="Q27" s="896"/>
      <c r="T27" s="759" t="s">
        <v>169</v>
      </c>
      <c r="U27" s="759"/>
      <c r="V27" s="759"/>
      <c r="W27" s="759"/>
      <c r="X27" s="894" t="s">
        <v>530</v>
      </c>
      <c r="Y27" s="895"/>
      <c r="Z27" s="895"/>
      <c r="AA27" s="895"/>
      <c r="AB27" s="895"/>
      <c r="AC27" s="895"/>
      <c r="AD27" s="895"/>
      <c r="AE27" s="895"/>
      <c r="AF27" s="895"/>
      <c r="AG27" s="895"/>
      <c r="AH27" s="895"/>
      <c r="AI27" s="896"/>
      <c r="BM27" s="759" t="s">
        <v>169</v>
      </c>
      <c r="BN27" s="759"/>
      <c r="BO27" s="759"/>
      <c r="BP27" s="759"/>
      <c r="BQ27" s="894" t="s">
        <v>530</v>
      </c>
      <c r="BR27" s="895"/>
      <c r="BS27" s="895"/>
      <c r="BT27" s="895"/>
      <c r="BU27" s="895"/>
      <c r="BV27" s="895"/>
      <c r="BW27" s="895"/>
      <c r="BX27" s="895"/>
      <c r="BY27" s="895"/>
      <c r="BZ27" s="895"/>
      <c r="CA27" s="895"/>
      <c r="CB27" s="896"/>
    </row>
    <row r="28" spans="2:80" ht="14.45" customHeight="1">
      <c r="B28" s="759"/>
      <c r="C28" s="759"/>
      <c r="D28" s="759"/>
      <c r="E28" s="759"/>
      <c r="F28" s="903" t="s">
        <v>527</v>
      </c>
      <c r="G28" s="904"/>
      <c r="H28" s="904"/>
      <c r="I28" s="904"/>
      <c r="J28" s="904"/>
      <c r="K28" s="904"/>
      <c r="L28" s="904"/>
      <c r="M28" s="904"/>
      <c r="N28" s="904"/>
      <c r="O28" s="904"/>
      <c r="P28" s="904"/>
      <c r="Q28" s="905"/>
      <c r="T28" s="759"/>
      <c r="U28" s="759"/>
      <c r="V28" s="759"/>
      <c r="W28" s="759"/>
      <c r="X28" s="903" t="s">
        <v>527</v>
      </c>
      <c r="Y28" s="904"/>
      <c r="Z28" s="904"/>
      <c r="AA28" s="904"/>
      <c r="AB28" s="904"/>
      <c r="AC28" s="904"/>
      <c r="AD28" s="904"/>
      <c r="AE28" s="904"/>
      <c r="AF28" s="904"/>
      <c r="AG28" s="904"/>
      <c r="AH28" s="904"/>
      <c r="AI28" s="905"/>
      <c r="BM28" s="759"/>
      <c r="BN28" s="759"/>
      <c r="BO28" s="759"/>
      <c r="BP28" s="759"/>
      <c r="BQ28" s="903" t="s">
        <v>527</v>
      </c>
      <c r="BR28" s="904"/>
      <c r="BS28" s="904"/>
      <c r="BT28" s="904"/>
      <c r="BU28" s="904"/>
      <c r="BV28" s="904"/>
      <c r="BW28" s="904"/>
      <c r="BX28" s="904"/>
      <c r="BY28" s="904"/>
      <c r="BZ28" s="904"/>
      <c r="CA28" s="904"/>
      <c r="CB28" s="905"/>
    </row>
    <row r="29" spans="2:80" ht="14.45" customHeight="1">
      <c r="B29" s="891" t="s">
        <v>170</v>
      </c>
      <c r="C29" s="891"/>
      <c r="D29" s="759" t="s">
        <v>171</v>
      </c>
      <c r="E29" s="759"/>
      <c r="F29" s="888" t="s">
        <v>535</v>
      </c>
      <c r="G29" s="889"/>
      <c r="H29" s="889"/>
      <c r="I29" s="889"/>
      <c r="J29" s="889"/>
      <c r="K29" s="890"/>
      <c r="L29" s="888" t="s">
        <v>547</v>
      </c>
      <c r="M29" s="889"/>
      <c r="N29" s="889"/>
      <c r="O29" s="889"/>
      <c r="P29" s="889"/>
      <c r="Q29" s="890"/>
      <c r="T29" s="891" t="s">
        <v>170</v>
      </c>
      <c r="U29" s="891"/>
      <c r="V29" s="759" t="s">
        <v>171</v>
      </c>
      <c r="W29" s="759"/>
      <c r="X29" s="888" t="s">
        <v>547</v>
      </c>
      <c r="Y29" s="889"/>
      <c r="Z29" s="889"/>
      <c r="AA29" s="889"/>
      <c r="AB29" s="889"/>
      <c r="AC29" s="890"/>
      <c r="AD29" s="888" t="s">
        <v>537</v>
      </c>
      <c r="AE29" s="889"/>
      <c r="AF29" s="889"/>
      <c r="AG29" s="889"/>
      <c r="AH29" s="889"/>
      <c r="AI29" s="890"/>
      <c r="BM29" s="891" t="s">
        <v>170</v>
      </c>
      <c r="BN29" s="891"/>
      <c r="BO29" s="759" t="s">
        <v>171</v>
      </c>
      <c r="BP29" s="759"/>
      <c r="BQ29" s="888" t="s">
        <v>537</v>
      </c>
      <c r="BR29" s="889"/>
      <c r="BS29" s="889"/>
      <c r="BT29" s="889"/>
      <c r="BU29" s="889"/>
      <c r="BV29" s="890"/>
      <c r="BW29" s="888" t="s">
        <v>793</v>
      </c>
      <c r="BX29" s="889"/>
      <c r="BY29" s="889"/>
      <c r="BZ29" s="889"/>
      <c r="CA29" s="889"/>
      <c r="CB29" s="890"/>
    </row>
    <row r="30" spans="2:80" ht="14.45" customHeight="1">
      <c r="B30" s="759"/>
      <c r="C30" s="759"/>
      <c r="D30" s="881" t="s">
        <v>172</v>
      </c>
      <c r="E30" s="882"/>
      <c r="F30" s="963">
        <v>7.03</v>
      </c>
      <c r="G30" s="964"/>
      <c r="H30" s="964"/>
      <c r="I30" s="964"/>
      <c r="J30" s="964"/>
      <c r="K30" s="965"/>
      <c r="L30" s="963">
        <v>14</v>
      </c>
      <c r="M30" s="964"/>
      <c r="N30" s="964"/>
      <c r="O30" s="964"/>
      <c r="P30" s="964"/>
      <c r="Q30" s="965"/>
      <c r="T30" s="759"/>
      <c r="U30" s="759"/>
      <c r="V30" s="881" t="s">
        <v>172</v>
      </c>
      <c r="W30" s="882"/>
      <c r="X30" s="963">
        <v>14</v>
      </c>
      <c r="Y30" s="964"/>
      <c r="Z30" s="964"/>
      <c r="AA30" s="964"/>
      <c r="AB30" s="964"/>
      <c r="AC30" s="965"/>
      <c r="AD30" s="963">
        <v>27.06</v>
      </c>
      <c r="AE30" s="964"/>
      <c r="AF30" s="964"/>
      <c r="AG30" s="964"/>
      <c r="AH30" s="964"/>
      <c r="AI30" s="965"/>
      <c r="BM30" s="759"/>
      <c r="BN30" s="759"/>
      <c r="BO30" s="881" t="s">
        <v>172</v>
      </c>
      <c r="BP30" s="882"/>
      <c r="BQ30" s="963">
        <v>27.06</v>
      </c>
      <c r="BR30" s="964"/>
      <c r="BS30" s="964"/>
      <c r="BT30" s="964"/>
      <c r="BU30" s="964"/>
      <c r="BV30" s="965"/>
      <c r="BW30" s="963">
        <v>39.75</v>
      </c>
      <c r="BX30" s="964"/>
      <c r="BY30" s="964"/>
      <c r="BZ30" s="964"/>
      <c r="CA30" s="964"/>
      <c r="CB30" s="965"/>
    </row>
    <row r="31" spans="2:80" ht="14.45" customHeight="1">
      <c r="B31" s="892"/>
      <c r="C31" s="892"/>
      <c r="D31" s="892" t="s">
        <v>173</v>
      </c>
      <c r="E31" s="892"/>
      <c r="F31" s="897" t="s">
        <v>215</v>
      </c>
      <c r="G31" s="898"/>
      <c r="H31" s="898"/>
      <c r="I31" s="898"/>
      <c r="J31" s="898"/>
      <c r="K31" s="899"/>
      <c r="L31" s="897" t="s">
        <v>215</v>
      </c>
      <c r="M31" s="898"/>
      <c r="N31" s="898"/>
      <c r="O31" s="898"/>
      <c r="P31" s="898"/>
      <c r="Q31" s="899"/>
      <c r="T31" s="892"/>
      <c r="U31" s="892"/>
      <c r="V31" s="892" t="s">
        <v>173</v>
      </c>
      <c r="W31" s="892"/>
      <c r="X31" s="897" t="s">
        <v>215</v>
      </c>
      <c r="Y31" s="898"/>
      <c r="Z31" s="898"/>
      <c r="AA31" s="898"/>
      <c r="AB31" s="898"/>
      <c r="AC31" s="899"/>
      <c r="AD31" s="897" t="s">
        <v>215</v>
      </c>
      <c r="AE31" s="898"/>
      <c r="AF31" s="898"/>
      <c r="AG31" s="898"/>
      <c r="AH31" s="898"/>
      <c r="AI31" s="899"/>
      <c r="BM31" s="892"/>
      <c r="BN31" s="892"/>
      <c r="BO31" s="892" t="s">
        <v>173</v>
      </c>
      <c r="BP31" s="892"/>
      <c r="BQ31" s="897" t="s">
        <v>215</v>
      </c>
      <c r="BR31" s="898"/>
      <c r="BS31" s="898"/>
      <c r="BT31" s="898"/>
      <c r="BU31" s="898"/>
      <c r="BV31" s="899"/>
      <c r="BW31" s="897" t="s">
        <v>215</v>
      </c>
      <c r="BX31" s="898"/>
      <c r="BY31" s="898"/>
      <c r="BZ31" s="898"/>
      <c r="CA31" s="898"/>
      <c r="CB31" s="899"/>
    </row>
    <row r="32" spans="2:80" ht="14.45" customHeight="1">
      <c r="B32" s="759" t="s">
        <v>27</v>
      </c>
      <c r="C32" s="759"/>
      <c r="D32" s="759"/>
      <c r="E32" s="759"/>
      <c r="F32" s="888" t="s">
        <v>534</v>
      </c>
      <c r="G32" s="889"/>
      <c r="H32" s="889"/>
      <c r="I32" s="889"/>
      <c r="J32" s="889"/>
      <c r="K32" s="889"/>
      <c r="L32" s="889"/>
      <c r="M32" s="889"/>
      <c r="N32" s="889"/>
      <c r="O32" s="889"/>
      <c r="P32" s="889"/>
      <c r="Q32" s="890"/>
      <c r="T32" s="759" t="s">
        <v>27</v>
      </c>
      <c r="U32" s="759"/>
      <c r="V32" s="759"/>
      <c r="W32" s="759"/>
      <c r="X32" s="888" t="s">
        <v>534</v>
      </c>
      <c r="Y32" s="889"/>
      <c r="Z32" s="889"/>
      <c r="AA32" s="889"/>
      <c r="AB32" s="889"/>
      <c r="AC32" s="889"/>
      <c r="AD32" s="889"/>
      <c r="AE32" s="889"/>
      <c r="AF32" s="889"/>
      <c r="AG32" s="889"/>
      <c r="AH32" s="889"/>
      <c r="AI32" s="890"/>
      <c r="BM32" s="759" t="s">
        <v>27</v>
      </c>
      <c r="BN32" s="759"/>
      <c r="BO32" s="759"/>
      <c r="BP32" s="759"/>
      <c r="BQ32" s="888" t="s">
        <v>534</v>
      </c>
      <c r="BR32" s="889"/>
      <c r="BS32" s="889"/>
      <c r="BT32" s="889"/>
      <c r="BU32" s="889"/>
      <c r="BV32" s="889"/>
      <c r="BW32" s="889"/>
      <c r="BX32" s="889"/>
      <c r="BY32" s="889"/>
      <c r="BZ32" s="889"/>
      <c r="CA32" s="889"/>
      <c r="CB32" s="890"/>
    </row>
    <row r="34" spans="2:80" ht="14.45" customHeight="1">
      <c r="B34" s="170" t="s">
        <v>543</v>
      </c>
      <c r="T34" s="170" t="s">
        <v>544</v>
      </c>
      <c r="BM34" s="170" t="s">
        <v>792</v>
      </c>
    </row>
    <row r="35" spans="2:80" ht="14.45" customHeight="1">
      <c r="B35" s="759" t="s">
        <v>164</v>
      </c>
      <c r="C35" s="759"/>
      <c r="D35" s="759"/>
      <c r="E35" s="759"/>
      <c r="F35" s="888" t="s">
        <v>528</v>
      </c>
      <c r="G35" s="889"/>
      <c r="H35" s="889"/>
      <c r="I35" s="889"/>
      <c r="J35" s="889"/>
      <c r="K35" s="889"/>
      <c r="L35" s="889"/>
      <c r="M35" s="889"/>
      <c r="N35" s="889"/>
      <c r="O35" s="889"/>
      <c r="P35" s="889"/>
      <c r="Q35" s="890"/>
      <c r="T35" s="759" t="s">
        <v>164</v>
      </c>
      <c r="U35" s="759"/>
      <c r="V35" s="759"/>
      <c r="W35" s="759"/>
      <c r="X35" s="888" t="s">
        <v>528</v>
      </c>
      <c r="Y35" s="889"/>
      <c r="Z35" s="889"/>
      <c r="AA35" s="889"/>
      <c r="AB35" s="889"/>
      <c r="AC35" s="889"/>
      <c r="AD35" s="889"/>
      <c r="AE35" s="889"/>
      <c r="AF35" s="889"/>
      <c r="AG35" s="889"/>
      <c r="AH35" s="889"/>
      <c r="AI35" s="890"/>
      <c r="BM35" s="759" t="s">
        <v>164</v>
      </c>
      <c r="BN35" s="759"/>
      <c r="BO35" s="759"/>
      <c r="BP35" s="759"/>
      <c r="BQ35" s="888" t="s">
        <v>528</v>
      </c>
      <c r="BR35" s="889"/>
      <c r="BS35" s="889"/>
      <c r="BT35" s="889"/>
      <c r="BU35" s="889"/>
      <c r="BV35" s="889"/>
      <c r="BW35" s="889"/>
      <c r="BX35" s="889"/>
      <c r="BY35" s="889"/>
      <c r="BZ35" s="889"/>
      <c r="CA35" s="889"/>
      <c r="CB35" s="890"/>
    </row>
    <row r="36" spans="2:80" ht="14.45" customHeight="1">
      <c r="B36" s="759" t="s">
        <v>165</v>
      </c>
      <c r="C36" s="759"/>
      <c r="D36" s="759"/>
      <c r="E36" s="759"/>
      <c r="F36" s="888" t="s">
        <v>413</v>
      </c>
      <c r="G36" s="889"/>
      <c r="H36" s="889"/>
      <c r="I36" s="889"/>
      <c r="J36" s="889"/>
      <c r="K36" s="889"/>
      <c r="L36" s="889"/>
      <c r="M36" s="889"/>
      <c r="N36" s="889"/>
      <c r="O36" s="889"/>
      <c r="P36" s="889"/>
      <c r="Q36" s="890"/>
      <c r="T36" s="759" t="s">
        <v>165</v>
      </c>
      <c r="U36" s="759"/>
      <c r="V36" s="759"/>
      <c r="W36" s="759"/>
      <c r="X36" s="888" t="s">
        <v>413</v>
      </c>
      <c r="Y36" s="889"/>
      <c r="Z36" s="889"/>
      <c r="AA36" s="889"/>
      <c r="AB36" s="889"/>
      <c r="AC36" s="889"/>
      <c r="AD36" s="889"/>
      <c r="AE36" s="889"/>
      <c r="AF36" s="889"/>
      <c r="AG36" s="889"/>
      <c r="AH36" s="889"/>
      <c r="AI36" s="890"/>
      <c r="BM36" s="759" t="s">
        <v>165</v>
      </c>
      <c r="BN36" s="759"/>
      <c r="BO36" s="759"/>
      <c r="BP36" s="759"/>
      <c r="BQ36" s="888" t="s">
        <v>413</v>
      </c>
      <c r="BR36" s="889"/>
      <c r="BS36" s="889"/>
      <c r="BT36" s="889"/>
      <c r="BU36" s="889"/>
      <c r="BV36" s="889"/>
      <c r="BW36" s="889"/>
      <c r="BX36" s="889"/>
      <c r="BY36" s="889"/>
      <c r="BZ36" s="889"/>
      <c r="CA36" s="889"/>
      <c r="CB36" s="890"/>
    </row>
    <row r="37" spans="2:80" ht="14.45" customHeight="1">
      <c r="B37" s="527" t="s">
        <v>515</v>
      </c>
      <c r="C37" s="528"/>
      <c r="D37" s="528"/>
      <c r="E37" s="529"/>
      <c r="F37" s="307"/>
      <c r="G37" s="308"/>
      <c r="H37" s="308"/>
      <c r="I37" s="308"/>
      <c r="J37" s="308"/>
      <c r="K37" s="308"/>
      <c r="L37" s="307"/>
      <c r="M37" s="308"/>
      <c r="N37" s="308"/>
      <c r="O37" s="308"/>
      <c r="P37" s="308"/>
      <c r="Q37" s="309"/>
      <c r="T37" s="527" t="s">
        <v>515</v>
      </c>
      <c r="U37" s="528"/>
      <c r="V37" s="528"/>
      <c r="W37" s="529"/>
      <c r="X37" s="307"/>
      <c r="Y37" s="308"/>
      <c r="Z37" s="308"/>
      <c r="AA37" s="308"/>
      <c r="AB37" s="308"/>
      <c r="AC37" s="308"/>
      <c r="AD37" s="307"/>
      <c r="AE37" s="308"/>
      <c r="AF37" s="308"/>
      <c r="AG37" s="308"/>
      <c r="AH37" s="308"/>
      <c r="AI37" s="309"/>
      <c r="BM37" s="527" t="s">
        <v>515</v>
      </c>
      <c r="BN37" s="528"/>
      <c r="BO37" s="528"/>
      <c r="BP37" s="529"/>
      <c r="BQ37" s="418"/>
      <c r="BR37" s="419"/>
      <c r="BS37" s="419"/>
      <c r="BT37" s="419"/>
      <c r="BU37" s="419"/>
      <c r="BV37" s="419"/>
      <c r="BW37" s="418"/>
      <c r="BX37" s="419"/>
      <c r="BY37" s="419"/>
      <c r="BZ37" s="419"/>
      <c r="CA37" s="419"/>
      <c r="CB37" s="420"/>
    </row>
    <row r="38" spans="2:80" ht="14.45" customHeight="1">
      <c r="B38" s="881"/>
      <c r="C38" s="906"/>
      <c r="D38" s="906"/>
      <c r="E38" s="907"/>
      <c r="F38" s="312"/>
      <c r="G38" s="313"/>
      <c r="H38" s="313"/>
      <c r="I38" s="313"/>
      <c r="J38" s="313"/>
      <c r="K38" s="313"/>
      <c r="L38" s="312"/>
      <c r="M38" s="313"/>
      <c r="N38" s="313"/>
      <c r="O38" s="313"/>
      <c r="P38" s="313"/>
      <c r="Q38" s="314"/>
      <c r="T38" s="881"/>
      <c r="U38" s="906"/>
      <c r="V38" s="906"/>
      <c r="W38" s="907"/>
      <c r="X38" s="312"/>
      <c r="Y38" s="313"/>
      <c r="Z38" s="313"/>
      <c r="AA38" s="313"/>
      <c r="AB38" s="313"/>
      <c r="AC38" s="313"/>
      <c r="AD38" s="312"/>
      <c r="AE38" s="313"/>
      <c r="AF38" s="313"/>
      <c r="AG38" s="313"/>
      <c r="AH38" s="313"/>
      <c r="AI38" s="314"/>
      <c r="BM38" s="881"/>
      <c r="BN38" s="906"/>
      <c r="BO38" s="906"/>
      <c r="BP38" s="907"/>
      <c r="BQ38" s="312"/>
      <c r="BR38" s="313"/>
      <c r="BS38" s="313"/>
      <c r="BT38" s="313"/>
      <c r="BU38" s="313"/>
      <c r="BV38" s="313"/>
      <c r="BW38" s="312"/>
      <c r="BX38" s="313"/>
      <c r="BY38" s="313"/>
      <c r="BZ38" s="313"/>
      <c r="CA38" s="313"/>
      <c r="CB38" s="314"/>
    </row>
    <row r="39" spans="2:80" ht="14.45" customHeight="1">
      <c r="B39" s="881"/>
      <c r="C39" s="906"/>
      <c r="D39" s="906"/>
      <c r="E39" s="907"/>
      <c r="F39" s="312"/>
      <c r="G39" s="313"/>
      <c r="H39" s="313"/>
      <c r="I39" s="313"/>
      <c r="J39" s="313"/>
      <c r="K39" s="313"/>
      <c r="L39" s="312"/>
      <c r="M39" s="313"/>
      <c r="N39" s="313"/>
      <c r="O39" s="313"/>
      <c r="P39" s="313"/>
      <c r="Q39" s="314"/>
      <c r="T39" s="881"/>
      <c r="U39" s="906"/>
      <c r="V39" s="906"/>
      <c r="W39" s="907"/>
      <c r="X39" s="312"/>
      <c r="Y39" s="313"/>
      <c r="Z39" s="313"/>
      <c r="AA39" s="313"/>
      <c r="AB39" s="313"/>
      <c r="AC39" s="313"/>
      <c r="AD39" s="312"/>
      <c r="AE39" s="313"/>
      <c r="AF39" s="313"/>
      <c r="AG39" s="313"/>
      <c r="AH39" s="313"/>
      <c r="AI39" s="314"/>
      <c r="BM39" s="881"/>
      <c r="BN39" s="906"/>
      <c r="BO39" s="906"/>
      <c r="BP39" s="907"/>
      <c r="BQ39" s="312"/>
      <c r="BR39" s="313"/>
      <c r="BS39" s="313"/>
      <c r="BT39" s="313"/>
      <c r="BU39" s="313"/>
      <c r="BV39" s="313"/>
      <c r="BW39" s="312"/>
      <c r="BX39" s="313"/>
      <c r="BY39" s="313"/>
      <c r="BZ39" s="313"/>
      <c r="CA39" s="313"/>
      <c r="CB39" s="314"/>
    </row>
    <row r="40" spans="2:80" ht="14.45" customHeight="1">
      <c r="B40" s="530"/>
      <c r="C40" s="531"/>
      <c r="D40" s="531"/>
      <c r="E40" s="532"/>
      <c r="F40" s="315"/>
      <c r="G40" s="316"/>
      <c r="H40" s="316"/>
      <c r="I40" s="316"/>
      <c r="J40" s="316"/>
      <c r="K40" s="316"/>
      <c r="L40" s="315"/>
      <c r="M40" s="316"/>
      <c r="N40" s="316"/>
      <c r="O40" s="316"/>
      <c r="P40" s="316"/>
      <c r="Q40" s="317"/>
      <c r="T40" s="530"/>
      <c r="U40" s="531"/>
      <c r="V40" s="531"/>
      <c r="W40" s="532"/>
      <c r="X40" s="315"/>
      <c r="Y40" s="316"/>
      <c r="Z40" s="316"/>
      <c r="AA40" s="316"/>
      <c r="AB40" s="316"/>
      <c r="AC40" s="316"/>
      <c r="AD40" s="315"/>
      <c r="AE40" s="316"/>
      <c r="AF40" s="316"/>
      <c r="AG40" s="316"/>
      <c r="AH40" s="316"/>
      <c r="AI40" s="317"/>
      <c r="BM40" s="530"/>
      <c r="BN40" s="531"/>
      <c r="BO40" s="531"/>
      <c r="BP40" s="532"/>
      <c r="BQ40" s="421"/>
      <c r="BR40" s="422"/>
      <c r="BS40" s="422"/>
      <c r="BT40" s="422"/>
      <c r="BU40" s="422"/>
      <c r="BV40" s="422"/>
      <c r="BW40" s="421"/>
      <c r="BX40" s="422"/>
      <c r="BY40" s="422"/>
      <c r="BZ40" s="422"/>
      <c r="CA40" s="422"/>
      <c r="CB40" s="423"/>
    </row>
    <row r="41" spans="2:80" ht="14.45" customHeight="1">
      <c r="B41" s="884" t="s">
        <v>166</v>
      </c>
      <c r="C41" s="884"/>
      <c r="D41" s="901" t="s">
        <v>167</v>
      </c>
      <c r="E41" s="901"/>
      <c r="F41" s="888" t="s">
        <v>529</v>
      </c>
      <c r="G41" s="889"/>
      <c r="H41" s="889"/>
      <c r="I41" s="889"/>
      <c r="J41" s="889"/>
      <c r="K41" s="889"/>
      <c r="L41" s="889"/>
      <c r="M41" s="889"/>
      <c r="N41" s="889"/>
      <c r="O41" s="889"/>
      <c r="P41" s="889"/>
      <c r="Q41" s="890"/>
      <c r="T41" s="884" t="s">
        <v>166</v>
      </c>
      <c r="U41" s="884"/>
      <c r="V41" s="901" t="s">
        <v>167</v>
      </c>
      <c r="W41" s="901"/>
      <c r="X41" s="888" t="s">
        <v>529</v>
      </c>
      <c r="Y41" s="889"/>
      <c r="Z41" s="889"/>
      <c r="AA41" s="889"/>
      <c r="AB41" s="889"/>
      <c r="AC41" s="889"/>
      <c r="AD41" s="889"/>
      <c r="AE41" s="889"/>
      <c r="AF41" s="889"/>
      <c r="AG41" s="889"/>
      <c r="AH41" s="889"/>
      <c r="AI41" s="890"/>
      <c r="BM41" s="884" t="s">
        <v>166</v>
      </c>
      <c r="BN41" s="884"/>
      <c r="BO41" s="901" t="s">
        <v>167</v>
      </c>
      <c r="BP41" s="901"/>
      <c r="BQ41" s="888" t="s">
        <v>529</v>
      </c>
      <c r="BR41" s="889"/>
      <c r="BS41" s="889"/>
      <c r="BT41" s="889"/>
      <c r="BU41" s="889"/>
      <c r="BV41" s="889"/>
      <c r="BW41" s="889"/>
      <c r="BX41" s="889"/>
      <c r="BY41" s="889"/>
      <c r="BZ41" s="889"/>
      <c r="CA41" s="889"/>
      <c r="CB41" s="890"/>
    </row>
    <row r="42" spans="2:80" ht="14.45" customHeight="1">
      <c r="B42" s="885"/>
      <c r="C42" s="885"/>
      <c r="D42" s="902" t="s">
        <v>168</v>
      </c>
      <c r="E42" s="902"/>
      <c r="F42" s="888" t="s">
        <v>532</v>
      </c>
      <c r="G42" s="889"/>
      <c r="H42" s="889"/>
      <c r="I42" s="888" t="s">
        <v>533</v>
      </c>
      <c r="J42" s="889"/>
      <c r="K42" s="889"/>
      <c r="L42" s="888" t="s">
        <v>532</v>
      </c>
      <c r="M42" s="889"/>
      <c r="N42" s="889"/>
      <c r="O42" s="888" t="s">
        <v>533</v>
      </c>
      <c r="P42" s="889"/>
      <c r="Q42" s="890"/>
      <c r="T42" s="885"/>
      <c r="U42" s="885"/>
      <c r="V42" s="902" t="s">
        <v>168</v>
      </c>
      <c r="W42" s="902"/>
      <c r="X42" s="888" t="s">
        <v>533</v>
      </c>
      <c r="Y42" s="889"/>
      <c r="Z42" s="889"/>
      <c r="AA42" s="888" t="s">
        <v>536</v>
      </c>
      <c r="AB42" s="889"/>
      <c r="AC42" s="889"/>
      <c r="AD42" s="888" t="s">
        <v>533</v>
      </c>
      <c r="AE42" s="889"/>
      <c r="AF42" s="889"/>
      <c r="AG42" s="888" t="s">
        <v>536</v>
      </c>
      <c r="AH42" s="889"/>
      <c r="AI42" s="890"/>
      <c r="BM42" s="885"/>
      <c r="BN42" s="885"/>
      <c r="BO42" s="902" t="s">
        <v>168</v>
      </c>
      <c r="BP42" s="902"/>
      <c r="BQ42" s="888" t="s">
        <v>536</v>
      </c>
      <c r="BR42" s="889"/>
      <c r="BS42" s="889"/>
      <c r="BT42" s="888" t="s">
        <v>794</v>
      </c>
      <c r="BU42" s="889"/>
      <c r="BV42" s="889"/>
      <c r="BW42" s="888" t="s">
        <v>536</v>
      </c>
      <c r="BX42" s="889"/>
      <c r="BY42" s="889"/>
      <c r="BZ42" s="888" t="s">
        <v>794</v>
      </c>
      <c r="CA42" s="889"/>
      <c r="CB42" s="890"/>
    </row>
    <row r="43" spans="2:80" ht="14.45" customHeight="1">
      <c r="B43" s="759" t="s">
        <v>169</v>
      </c>
      <c r="C43" s="759"/>
      <c r="D43" s="759"/>
      <c r="E43" s="759"/>
      <c r="F43" s="894" t="s">
        <v>530</v>
      </c>
      <c r="G43" s="895"/>
      <c r="H43" s="895"/>
      <c r="I43" s="895"/>
      <c r="J43" s="895"/>
      <c r="K43" s="895"/>
      <c r="L43" s="895"/>
      <c r="M43" s="895"/>
      <c r="N43" s="895"/>
      <c r="O43" s="895"/>
      <c r="P43" s="895"/>
      <c r="Q43" s="896"/>
      <c r="T43" s="759" t="s">
        <v>169</v>
      </c>
      <c r="U43" s="759"/>
      <c r="V43" s="759"/>
      <c r="W43" s="759"/>
      <c r="X43" s="894" t="s">
        <v>530</v>
      </c>
      <c r="Y43" s="895"/>
      <c r="Z43" s="895"/>
      <c r="AA43" s="895"/>
      <c r="AB43" s="895"/>
      <c r="AC43" s="895"/>
      <c r="AD43" s="895"/>
      <c r="AE43" s="895"/>
      <c r="AF43" s="895"/>
      <c r="AG43" s="895"/>
      <c r="AH43" s="895"/>
      <c r="AI43" s="896"/>
      <c r="BM43" s="759" t="s">
        <v>169</v>
      </c>
      <c r="BN43" s="759"/>
      <c r="BO43" s="759"/>
      <c r="BP43" s="759"/>
      <c r="BQ43" s="894" t="s">
        <v>530</v>
      </c>
      <c r="BR43" s="895"/>
      <c r="BS43" s="895"/>
      <c r="BT43" s="895"/>
      <c r="BU43" s="895"/>
      <c r="BV43" s="895"/>
      <c r="BW43" s="895"/>
      <c r="BX43" s="895"/>
      <c r="BY43" s="895"/>
      <c r="BZ43" s="895"/>
      <c r="CA43" s="895"/>
      <c r="CB43" s="896"/>
    </row>
    <row r="44" spans="2:80" ht="14.45" customHeight="1">
      <c r="B44" s="759"/>
      <c r="C44" s="759"/>
      <c r="D44" s="759"/>
      <c r="E44" s="759"/>
      <c r="F44" s="903" t="s">
        <v>527</v>
      </c>
      <c r="G44" s="904"/>
      <c r="H44" s="904"/>
      <c r="I44" s="904"/>
      <c r="J44" s="904"/>
      <c r="K44" s="904"/>
      <c r="L44" s="904"/>
      <c r="M44" s="904"/>
      <c r="N44" s="904"/>
      <c r="O44" s="904"/>
      <c r="P44" s="904"/>
      <c r="Q44" s="905"/>
      <c r="T44" s="759"/>
      <c r="U44" s="759"/>
      <c r="V44" s="759"/>
      <c r="W44" s="759"/>
      <c r="X44" s="903" t="s">
        <v>527</v>
      </c>
      <c r="Y44" s="904"/>
      <c r="Z44" s="904"/>
      <c r="AA44" s="904"/>
      <c r="AB44" s="904"/>
      <c r="AC44" s="904"/>
      <c r="AD44" s="904"/>
      <c r="AE44" s="904"/>
      <c r="AF44" s="904"/>
      <c r="AG44" s="904"/>
      <c r="AH44" s="904"/>
      <c r="AI44" s="905"/>
      <c r="BM44" s="759"/>
      <c r="BN44" s="759"/>
      <c r="BO44" s="759"/>
      <c r="BP44" s="759"/>
      <c r="BQ44" s="903" t="s">
        <v>527</v>
      </c>
      <c r="BR44" s="904"/>
      <c r="BS44" s="904"/>
      <c r="BT44" s="904"/>
      <c r="BU44" s="904"/>
      <c r="BV44" s="904"/>
      <c r="BW44" s="904"/>
      <c r="BX44" s="904"/>
      <c r="BY44" s="904"/>
      <c r="BZ44" s="904"/>
      <c r="CA44" s="904"/>
      <c r="CB44" s="905"/>
    </row>
    <row r="45" spans="2:80" ht="14.45" customHeight="1">
      <c r="B45" s="891" t="s">
        <v>170</v>
      </c>
      <c r="C45" s="891"/>
      <c r="D45" s="759" t="s">
        <v>171</v>
      </c>
      <c r="E45" s="759"/>
      <c r="F45" s="888" t="s">
        <v>535</v>
      </c>
      <c r="G45" s="889"/>
      <c r="H45" s="889"/>
      <c r="I45" s="888" t="s">
        <v>547</v>
      </c>
      <c r="J45" s="889"/>
      <c r="K45" s="890"/>
      <c r="L45" s="888" t="s">
        <v>538</v>
      </c>
      <c r="M45" s="889"/>
      <c r="N45" s="889"/>
      <c r="O45" s="888" t="s">
        <v>539</v>
      </c>
      <c r="P45" s="889"/>
      <c r="Q45" s="890"/>
      <c r="T45" s="891" t="s">
        <v>170</v>
      </c>
      <c r="U45" s="891"/>
      <c r="V45" s="759" t="s">
        <v>171</v>
      </c>
      <c r="W45" s="759"/>
      <c r="X45" s="888" t="s">
        <v>547</v>
      </c>
      <c r="Y45" s="889"/>
      <c r="Z45" s="890"/>
      <c r="AA45" s="888" t="s">
        <v>537</v>
      </c>
      <c r="AB45" s="889"/>
      <c r="AC45" s="890"/>
      <c r="AD45" s="888" t="s">
        <v>539</v>
      </c>
      <c r="AE45" s="889"/>
      <c r="AF45" s="890"/>
      <c r="AG45" s="888" t="s">
        <v>540</v>
      </c>
      <c r="AH45" s="889"/>
      <c r="AI45" s="890"/>
      <c r="BM45" s="891" t="s">
        <v>170</v>
      </c>
      <c r="BN45" s="891"/>
      <c r="BO45" s="759" t="s">
        <v>171</v>
      </c>
      <c r="BP45" s="759"/>
      <c r="BQ45" s="888" t="s">
        <v>537</v>
      </c>
      <c r="BR45" s="889"/>
      <c r="BS45" s="890"/>
      <c r="BT45" s="888" t="s">
        <v>793</v>
      </c>
      <c r="BU45" s="889"/>
      <c r="BV45" s="890"/>
      <c r="BW45" s="888" t="s">
        <v>540</v>
      </c>
      <c r="BX45" s="889"/>
      <c r="BY45" s="890"/>
      <c r="BZ45" s="888" t="s">
        <v>795</v>
      </c>
      <c r="CA45" s="889"/>
      <c r="CB45" s="890"/>
    </row>
    <row r="46" spans="2:80" ht="14.45" customHeight="1">
      <c r="B46" s="759"/>
      <c r="C46" s="759"/>
      <c r="D46" s="881" t="s">
        <v>172</v>
      </c>
      <c r="E46" s="882"/>
      <c r="F46" s="963">
        <v>7.03</v>
      </c>
      <c r="G46" s="964"/>
      <c r="H46" s="964"/>
      <c r="I46" s="963">
        <v>14</v>
      </c>
      <c r="J46" s="964"/>
      <c r="K46" s="965"/>
      <c r="L46" s="963">
        <v>7.57</v>
      </c>
      <c r="M46" s="964"/>
      <c r="N46" s="964"/>
      <c r="O46" s="963">
        <v>13.84</v>
      </c>
      <c r="P46" s="964"/>
      <c r="Q46" s="965"/>
      <c r="T46" s="759"/>
      <c r="U46" s="759"/>
      <c r="V46" s="881" t="s">
        <v>172</v>
      </c>
      <c r="W46" s="882"/>
      <c r="X46" s="963">
        <v>14</v>
      </c>
      <c r="Y46" s="964"/>
      <c r="Z46" s="965"/>
      <c r="AA46" s="963">
        <v>27.06</v>
      </c>
      <c r="AB46" s="964"/>
      <c r="AC46" s="965"/>
      <c r="AD46" s="963">
        <v>13.84</v>
      </c>
      <c r="AE46" s="964"/>
      <c r="AF46" s="965"/>
      <c r="AG46" s="963">
        <v>26.36</v>
      </c>
      <c r="AH46" s="964"/>
      <c r="AI46" s="965"/>
      <c r="BM46" s="759"/>
      <c r="BN46" s="759"/>
      <c r="BO46" s="881" t="s">
        <v>172</v>
      </c>
      <c r="BP46" s="882"/>
      <c r="BQ46" s="963">
        <v>27.06</v>
      </c>
      <c r="BR46" s="964"/>
      <c r="BS46" s="965"/>
      <c r="BT46" s="963">
        <v>39.75</v>
      </c>
      <c r="BU46" s="964"/>
      <c r="BV46" s="965"/>
      <c r="BW46" s="963">
        <v>26.36</v>
      </c>
      <c r="BX46" s="964"/>
      <c r="BY46" s="965"/>
      <c r="BZ46" s="963">
        <v>38.79</v>
      </c>
      <c r="CA46" s="964"/>
      <c r="CB46" s="965"/>
    </row>
    <row r="47" spans="2:80" ht="14.45" customHeight="1">
      <c r="B47" s="892"/>
      <c r="C47" s="892"/>
      <c r="D47" s="892" t="s">
        <v>173</v>
      </c>
      <c r="E47" s="892"/>
      <c r="F47" s="897" t="s">
        <v>215</v>
      </c>
      <c r="G47" s="898"/>
      <c r="H47" s="898"/>
      <c r="I47" s="897" t="s">
        <v>215</v>
      </c>
      <c r="J47" s="898"/>
      <c r="K47" s="899"/>
      <c r="L47" s="897" t="s">
        <v>215</v>
      </c>
      <c r="M47" s="898"/>
      <c r="N47" s="898"/>
      <c r="O47" s="897" t="s">
        <v>215</v>
      </c>
      <c r="P47" s="898"/>
      <c r="Q47" s="899"/>
      <c r="T47" s="892"/>
      <c r="U47" s="892"/>
      <c r="V47" s="892" t="s">
        <v>173</v>
      </c>
      <c r="W47" s="892"/>
      <c r="X47" s="897" t="s">
        <v>215</v>
      </c>
      <c r="Y47" s="898"/>
      <c r="Z47" s="898"/>
      <c r="AA47" s="897" t="s">
        <v>215</v>
      </c>
      <c r="AB47" s="898"/>
      <c r="AC47" s="899"/>
      <c r="AD47" s="897" t="s">
        <v>215</v>
      </c>
      <c r="AE47" s="898"/>
      <c r="AF47" s="898"/>
      <c r="AG47" s="897" t="s">
        <v>215</v>
      </c>
      <c r="AH47" s="898"/>
      <c r="AI47" s="899"/>
      <c r="BM47" s="892"/>
      <c r="BN47" s="892"/>
      <c r="BO47" s="892" t="s">
        <v>173</v>
      </c>
      <c r="BP47" s="892"/>
      <c r="BQ47" s="897" t="s">
        <v>215</v>
      </c>
      <c r="BR47" s="898"/>
      <c r="BS47" s="899"/>
      <c r="BT47" s="897" t="s">
        <v>215</v>
      </c>
      <c r="BU47" s="898"/>
      <c r="BV47" s="899"/>
      <c r="BW47" s="897" t="s">
        <v>215</v>
      </c>
      <c r="BX47" s="898"/>
      <c r="BY47" s="899"/>
      <c r="BZ47" s="897" t="s">
        <v>215</v>
      </c>
      <c r="CA47" s="898"/>
      <c r="CB47" s="899"/>
    </row>
    <row r="48" spans="2:80" ht="14.45" customHeight="1">
      <c r="B48" s="759" t="s">
        <v>27</v>
      </c>
      <c r="C48" s="759"/>
      <c r="D48" s="759"/>
      <c r="E48" s="759"/>
      <c r="F48" s="888" t="s">
        <v>534</v>
      </c>
      <c r="G48" s="889"/>
      <c r="H48" s="889"/>
      <c r="I48" s="889"/>
      <c r="J48" s="889"/>
      <c r="K48" s="889"/>
      <c r="L48" s="889"/>
      <c r="M48" s="889"/>
      <c r="N48" s="889"/>
      <c r="O48" s="889"/>
      <c r="P48" s="889"/>
      <c r="Q48" s="890"/>
      <c r="T48" s="759" t="s">
        <v>27</v>
      </c>
      <c r="U48" s="759"/>
      <c r="V48" s="759"/>
      <c r="W48" s="759"/>
      <c r="X48" s="888" t="s">
        <v>534</v>
      </c>
      <c r="Y48" s="889"/>
      <c r="Z48" s="889"/>
      <c r="AA48" s="889"/>
      <c r="AB48" s="889"/>
      <c r="AC48" s="889"/>
      <c r="AD48" s="889"/>
      <c r="AE48" s="889"/>
      <c r="AF48" s="889"/>
      <c r="AG48" s="889"/>
      <c r="AH48" s="889"/>
      <c r="AI48" s="890"/>
      <c r="BM48" s="759" t="s">
        <v>27</v>
      </c>
      <c r="BN48" s="759"/>
      <c r="BO48" s="759"/>
      <c r="BP48" s="759"/>
      <c r="BQ48" s="888" t="s">
        <v>534</v>
      </c>
      <c r="BR48" s="889"/>
      <c r="BS48" s="889"/>
      <c r="BT48" s="889"/>
      <c r="BU48" s="889"/>
      <c r="BV48" s="889"/>
      <c r="BW48" s="889"/>
      <c r="BX48" s="889"/>
      <c r="BY48" s="889"/>
      <c r="BZ48" s="889"/>
      <c r="CA48" s="889"/>
      <c r="CB48" s="890"/>
    </row>
  </sheetData>
  <sheetProtection algorithmName="SHA-512" hashValue="9VKQtIaBFTaEL0YuqLNrUZ/tYiudcA3ZR+VJfyWQycQsdnkqBsn8BqdSARf+fyO6ME0Ka+YIHCECm1U0tBZuyw==" saltValue="refkuNZNKYAYRhMY/aqMtQ==" spinCount="100000" sheet="1" objects="1" scenarios="1"/>
  <mergeCells count="224">
    <mergeCell ref="BM48:BP48"/>
    <mergeCell ref="BQ48:CB48"/>
    <mergeCell ref="BM43:BP44"/>
    <mergeCell ref="BQ43:CB43"/>
    <mergeCell ref="BQ44:CB44"/>
    <mergeCell ref="BM45:BN47"/>
    <mergeCell ref="BO45:BP45"/>
    <mergeCell ref="BQ45:BS45"/>
    <mergeCell ref="BT45:BV45"/>
    <mergeCell ref="BW45:BY45"/>
    <mergeCell ref="BZ45:CB45"/>
    <mergeCell ref="BO46:BP46"/>
    <mergeCell ref="BQ46:BS46"/>
    <mergeCell ref="BT46:BV46"/>
    <mergeCell ref="BW46:BY46"/>
    <mergeCell ref="BZ46:CB46"/>
    <mergeCell ref="BO47:BP47"/>
    <mergeCell ref="BQ47:BS47"/>
    <mergeCell ref="BT47:BV47"/>
    <mergeCell ref="BW47:BY47"/>
    <mergeCell ref="BZ47:CB47"/>
    <mergeCell ref="BM32:BP32"/>
    <mergeCell ref="BQ32:CB32"/>
    <mergeCell ref="BM35:BP35"/>
    <mergeCell ref="BQ35:CB35"/>
    <mergeCell ref="BM36:BP36"/>
    <mergeCell ref="BQ36:CB36"/>
    <mergeCell ref="BM37:BP40"/>
    <mergeCell ref="BM41:BN42"/>
    <mergeCell ref="BO41:BP41"/>
    <mergeCell ref="BQ41:CB41"/>
    <mergeCell ref="BO42:BP42"/>
    <mergeCell ref="BQ42:BS42"/>
    <mergeCell ref="BT42:BV42"/>
    <mergeCell ref="BW42:BY42"/>
    <mergeCell ref="BZ42:CB42"/>
    <mergeCell ref="BM27:BP28"/>
    <mergeCell ref="BQ27:CB27"/>
    <mergeCell ref="BQ28:CB28"/>
    <mergeCell ref="BM29:BN31"/>
    <mergeCell ref="BO29:BP29"/>
    <mergeCell ref="BQ29:BV29"/>
    <mergeCell ref="BW29:CB29"/>
    <mergeCell ref="BO30:BP30"/>
    <mergeCell ref="BQ30:BV30"/>
    <mergeCell ref="BW30:CB30"/>
    <mergeCell ref="BO31:BP31"/>
    <mergeCell ref="BQ31:BV31"/>
    <mergeCell ref="BW31:CB31"/>
    <mergeCell ref="BM19:BP19"/>
    <mergeCell ref="BQ19:CB19"/>
    <mergeCell ref="BM20:BP20"/>
    <mergeCell ref="BQ20:CB20"/>
    <mergeCell ref="BM21:BP24"/>
    <mergeCell ref="BM25:BN26"/>
    <mergeCell ref="BO25:BP25"/>
    <mergeCell ref="BQ25:CB25"/>
    <mergeCell ref="BO26:BP26"/>
    <mergeCell ref="BQ26:BV26"/>
    <mergeCell ref="BW26:CB26"/>
    <mergeCell ref="F15:Q15"/>
    <mergeCell ref="B3:E3"/>
    <mergeCell ref="F3:Q3"/>
    <mergeCell ref="B4:E4"/>
    <mergeCell ref="F4:Q4"/>
    <mergeCell ref="B5:E8"/>
    <mergeCell ref="B9:C10"/>
    <mergeCell ref="D9:E9"/>
    <mergeCell ref="F9:Q9"/>
    <mergeCell ref="D10:E10"/>
    <mergeCell ref="F10:Q10"/>
    <mergeCell ref="T3:W3"/>
    <mergeCell ref="X3:AI3"/>
    <mergeCell ref="T4:W4"/>
    <mergeCell ref="X4:AI4"/>
    <mergeCell ref="T5:W8"/>
    <mergeCell ref="T9:U10"/>
    <mergeCell ref="V9:W9"/>
    <mergeCell ref="X9:AI9"/>
    <mergeCell ref="B11:E12"/>
    <mergeCell ref="F11:Q11"/>
    <mergeCell ref="F12:Q12"/>
    <mergeCell ref="V15:W15"/>
    <mergeCell ref="X15:AI15"/>
    <mergeCell ref="T16:W16"/>
    <mergeCell ref="X16:AI16"/>
    <mergeCell ref="B19:E19"/>
    <mergeCell ref="F19:Q19"/>
    <mergeCell ref="V10:W10"/>
    <mergeCell ref="X10:AI10"/>
    <mergeCell ref="T11:W12"/>
    <mergeCell ref="X11:AI11"/>
    <mergeCell ref="X12:AI12"/>
    <mergeCell ref="T13:U15"/>
    <mergeCell ref="V13:W13"/>
    <mergeCell ref="X13:AI13"/>
    <mergeCell ref="V14:W14"/>
    <mergeCell ref="X14:AI14"/>
    <mergeCell ref="B16:E16"/>
    <mergeCell ref="F16:Q16"/>
    <mergeCell ref="B13:C15"/>
    <mergeCell ref="D13:E13"/>
    <mergeCell ref="F13:Q13"/>
    <mergeCell ref="D14:E14"/>
    <mergeCell ref="F14:Q14"/>
    <mergeCell ref="D15:E15"/>
    <mergeCell ref="T19:W19"/>
    <mergeCell ref="X19:AI19"/>
    <mergeCell ref="T20:W20"/>
    <mergeCell ref="X20:AI20"/>
    <mergeCell ref="T25:U26"/>
    <mergeCell ref="V25:W25"/>
    <mergeCell ref="X25:AI25"/>
    <mergeCell ref="V26:W26"/>
    <mergeCell ref="B27:E28"/>
    <mergeCell ref="F27:Q27"/>
    <mergeCell ref="F28:Q28"/>
    <mergeCell ref="B20:E20"/>
    <mergeCell ref="F20:Q20"/>
    <mergeCell ref="B25:C26"/>
    <mergeCell ref="D25:E25"/>
    <mergeCell ref="F25:Q25"/>
    <mergeCell ref="D26:E26"/>
    <mergeCell ref="B21:E24"/>
    <mergeCell ref="T21:W24"/>
    <mergeCell ref="F26:K26"/>
    <mergeCell ref="L26:Q26"/>
    <mergeCell ref="D31:E31"/>
    <mergeCell ref="L29:Q29"/>
    <mergeCell ref="L30:Q30"/>
    <mergeCell ref="L31:Q31"/>
    <mergeCell ref="X26:AC26"/>
    <mergeCell ref="AD26:AI26"/>
    <mergeCell ref="X29:AC29"/>
    <mergeCell ref="AD29:AI29"/>
    <mergeCell ref="X30:AC30"/>
    <mergeCell ref="AD30:AI30"/>
    <mergeCell ref="X31:AC31"/>
    <mergeCell ref="F29:K29"/>
    <mergeCell ref="F30:K30"/>
    <mergeCell ref="F31:K31"/>
    <mergeCell ref="T27:W28"/>
    <mergeCell ref="X27:AI27"/>
    <mergeCell ref="X28:AI28"/>
    <mergeCell ref="T29:U31"/>
    <mergeCell ref="V29:W29"/>
    <mergeCell ref="V30:W30"/>
    <mergeCell ref="V31:W31"/>
    <mergeCell ref="B37:E40"/>
    <mergeCell ref="T37:W40"/>
    <mergeCell ref="B41:C42"/>
    <mergeCell ref="D41:E41"/>
    <mergeCell ref="F41:Q41"/>
    <mergeCell ref="T41:U42"/>
    <mergeCell ref="V41:W41"/>
    <mergeCell ref="O42:Q42"/>
    <mergeCell ref="AD31:AI31"/>
    <mergeCell ref="B35:E35"/>
    <mergeCell ref="F35:Q35"/>
    <mergeCell ref="T35:W35"/>
    <mergeCell ref="X35:AI35"/>
    <mergeCell ref="B36:E36"/>
    <mergeCell ref="F36:Q36"/>
    <mergeCell ref="T36:W36"/>
    <mergeCell ref="X36:AI36"/>
    <mergeCell ref="T32:W32"/>
    <mergeCell ref="X32:AI32"/>
    <mergeCell ref="B32:E32"/>
    <mergeCell ref="F32:Q32"/>
    <mergeCell ref="B29:C31"/>
    <mergeCell ref="D29:E29"/>
    <mergeCell ref="D30:E30"/>
    <mergeCell ref="B43:E44"/>
    <mergeCell ref="F43:Q43"/>
    <mergeCell ref="T43:W44"/>
    <mergeCell ref="X43:AI43"/>
    <mergeCell ref="F44:Q44"/>
    <mergeCell ref="X44:AI44"/>
    <mergeCell ref="X41:AI41"/>
    <mergeCell ref="D42:E42"/>
    <mergeCell ref="V42:W42"/>
    <mergeCell ref="F42:H42"/>
    <mergeCell ref="L42:N42"/>
    <mergeCell ref="I42:K42"/>
    <mergeCell ref="X48:AI48"/>
    <mergeCell ref="F47:H47"/>
    <mergeCell ref="AG47:AI47"/>
    <mergeCell ref="D46:E46"/>
    <mergeCell ref="V46:W46"/>
    <mergeCell ref="F45:H45"/>
    <mergeCell ref="F46:H46"/>
    <mergeCell ref="B45:C47"/>
    <mergeCell ref="D45:E45"/>
    <mergeCell ref="T45:U47"/>
    <mergeCell ref="V45:W45"/>
    <mergeCell ref="D47:E47"/>
    <mergeCell ref="V47:W47"/>
    <mergeCell ref="L45:N45"/>
    <mergeCell ref="L46:N46"/>
    <mergeCell ref="L47:N47"/>
    <mergeCell ref="I45:K45"/>
    <mergeCell ref="I46:K46"/>
    <mergeCell ref="I47:K47"/>
    <mergeCell ref="B48:E48"/>
    <mergeCell ref="F48:Q48"/>
    <mergeCell ref="T48:W48"/>
    <mergeCell ref="O45:Q45"/>
    <mergeCell ref="O46:Q46"/>
    <mergeCell ref="O47:Q47"/>
    <mergeCell ref="X42:Z42"/>
    <mergeCell ref="AA42:AC42"/>
    <mergeCell ref="AD42:AF42"/>
    <mergeCell ref="X47:Z47"/>
    <mergeCell ref="AA47:AC47"/>
    <mergeCell ref="AD47:AF47"/>
    <mergeCell ref="AG42:AI42"/>
    <mergeCell ref="X45:Z45"/>
    <mergeCell ref="AA45:AC45"/>
    <mergeCell ref="AD45:AF45"/>
    <mergeCell ref="AG45:AI45"/>
    <mergeCell ref="X46:Z46"/>
    <mergeCell ref="AA46:AC46"/>
    <mergeCell ref="AD46:AF46"/>
    <mergeCell ref="AG46:AI46"/>
  </mergeCells>
  <phoneticPr fontId="25"/>
  <conditionalFormatting sqref="B3:F4 B9:F11 B5 F5:F8 B13:F16 B12:E12">
    <cfRule type="expression" dxfId="41" priority="46">
      <formula>#REF!="オフサイト貯留施設"</formula>
    </cfRule>
  </conditionalFormatting>
  <conditionalFormatting sqref="T3:X4 T9:X16 T5 X5:X8">
    <cfRule type="expression" dxfId="40" priority="45">
      <formula>#REF!="オフサイト貯留施設"</formula>
    </cfRule>
  </conditionalFormatting>
  <conditionalFormatting sqref="F12">
    <cfRule type="expression" dxfId="39" priority="44">
      <formula>#REF!="オフサイト貯留施設"</formula>
    </cfRule>
  </conditionalFormatting>
  <conditionalFormatting sqref="B19:F20 B25:F32 L26 L29:L31">
    <cfRule type="expression" dxfId="38" priority="43">
      <formula>#REF!="オフサイト貯留施設"</formula>
    </cfRule>
  </conditionalFormatting>
  <conditionalFormatting sqref="B21 F21:F24">
    <cfRule type="expression" dxfId="37" priority="41">
      <formula>#REF!="オフサイト貯留施設"</formula>
    </cfRule>
  </conditionalFormatting>
  <conditionalFormatting sqref="T19:X20 T25:X32 AD26 AD29:AD31">
    <cfRule type="expression" dxfId="36" priority="39">
      <formula>#REF!="オフサイト貯留施設"</formula>
    </cfRule>
  </conditionalFormatting>
  <conditionalFormatting sqref="T21">
    <cfRule type="expression" dxfId="35" priority="38">
      <formula>#REF!="オフサイト貯留施設"</formula>
    </cfRule>
  </conditionalFormatting>
  <conditionalFormatting sqref="B35:F36 B41:F48 L45:L47 L42">
    <cfRule type="expression" dxfId="34" priority="37">
      <formula>#REF!="オフサイト貯留施設"</formula>
    </cfRule>
  </conditionalFormatting>
  <conditionalFormatting sqref="B37 F37:F40">
    <cfRule type="expression" dxfId="33" priority="36">
      <formula>#REF!="オフサイト貯留施設"</formula>
    </cfRule>
  </conditionalFormatting>
  <conditionalFormatting sqref="I42">
    <cfRule type="expression" dxfId="32" priority="33">
      <formula>#REF!="オフサイト貯留施設"</formula>
    </cfRule>
  </conditionalFormatting>
  <conditionalFormatting sqref="O42">
    <cfRule type="expression" dxfId="31" priority="32">
      <formula>#REF!="オフサイト貯留施設"</formula>
    </cfRule>
  </conditionalFormatting>
  <conditionalFormatting sqref="I45:I47">
    <cfRule type="expression" dxfId="30" priority="31">
      <formula>#REF!="オフサイト貯留施設"</formula>
    </cfRule>
  </conditionalFormatting>
  <conditionalFormatting sqref="O45:O47">
    <cfRule type="expression" dxfId="29" priority="30">
      <formula>#REF!="オフサイト貯留施設"</formula>
    </cfRule>
  </conditionalFormatting>
  <conditionalFormatting sqref="T35:X36 T41:X41 AD47 T43:X44 T42:W42 T47:X48 T45:W46">
    <cfRule type="expression" dxfId="28" priority="29">
      <formula>#REF!="オフサイト貯留施設"</formula>
    </cfRule>
  </conditionalFormatting>
  <conditionalFormatting sqref="T37">
    <cfRule type="expression" dxfId="27" priority="28">
      <formula>#REF!="オフサイト貯留施設"</formula>
    </cfRule>
  </conditionalFormatting>
  <conditionalFormatting sqref="AA42">
    <cfRule type="expression" dxfId="26" priority="27">
      <formula>#REF!="オフサイト貯留施設"</formula>
    </cfRule>
  </conditionalFormatting>
  <conditionalFormatting sqref="AG42">
    <cfRule type="expression" dxfId="25" priority="26">
      <formula>#REF!="オフサイト貯留施設"</formula>
    </cfRule>
  </conditionalFormatting>
  <conditionalFormatting sqref="AA45:AA47">
    <cfRule type="expression" dxfId="24" priority="25">
      <formula>#REF!="オフサイト貯留施設"</formula>
    </cfRule>
  </conditionalFormatting>
  <conditionalFormatting sqref="AG45:AG47">
    <cfRule type="expression" dxfId="23" priority="24">
      <formula>#REF!="オフサイト貯留施設"</formula>
    </cfRule>
  </conditionalFormatting>
  <conditionalFormatting sqref="X42">
    <cfRule type="expression" dxfId="22" priority="23">
      <formula>#REF!="オフサイト貯留施設"</formula>
    </cfRule>
  </conditionalFormatting>
  <conditionalFormatting sqref="AD42">
    <cfRule type="expression" dxfId="21" priority="22">
      <formula>#REF!="オフサイト貯留施設"</formula>
    </cfRule>
  </conditionalFormatting>
  <conditionalFormatting sqref="X45:X46">
    <cfRule type="expression" dxfId="20" priority="21">
      <formula>#REF!="オフサイト貯留施設"</formula>
    </cfRule>
  </conditionalFormatting>
  <conditionalFormatting sqref="AD45:AD46">
    <cfRule type="expression" dxfId="19" priority="20">
      <formula>#REF!="オフサイト貯留施設"</formula>
    </cfRule>
  </conditionalFormatting>
  <conditionalFormatting sqref="X21:X24">
    <cfRule type="expression" dxfId="18" priority="19">
      <formula>#REF!="オフサイト貯留施設"</formula>
    </cfRule>
  </conditionalFormatting>
  <conditionalFormatting sqref="X37:X40">
    <cfRule type="expression" dxfId="17" priority="18">
      <formula>#REF!="オフサイト貯留施設"</formula>
    </cfRule>
  </conditionalFormatting>
  <conditionalFormatting sqref="BM19:BQ20 BM25:BQ28 BW26 BW29:BW31 BM31:BQ32 BM29:BP30">
    <cfRule type="expression" dxfId="16" priority="17">
      <formula>#REF!="オフサイト貯留施設"</formula>
    </cfRule>
  </conditionalFormatting>
  <conditionalFormatting sqref="BM21">
    <cfRule type="expression" dxfId="15" priority="16">
      <formula>#REF!="オフサイト貯留施設"</formula>
    </cfRule>
  </conditionalFormatting>
  <conditionalFormatting sqref="BM35:BQ36 BM41:BQ41 BM43:BQ44 BM42:BP42 BM48:BQ48 BM45:BP47">
    <cfRule type="expression" dxfId="14" priority="15">
      <formula>#REF!="オフサイト貯留施設"</formula>
    </cfRule>
  </conditionalFormatting>
  <conditionalFormatting sqref="BM37">
    <cfRule type="expression" dxfId="13" priority="14">
      <formula>#REF!="オフサイト貯留施設"</formula>
    </cfRule>
  </conditionalFormatting>
  <conditionalFormatting sqref="BT42">
    <cfRule type="expression" dxfId="12" priority="13">
      <formula>#REF!="オフサイト貯留施設"</formula>
    </cfRule>
  </conditionalFormatting>
  <conditionalFormatting sqref="BZ42">
    <cfRule type="expression" dxfId="11" priority="12">
      <formula>#REF!="オフサイト貯留施設"</formula>
    </cfRule>
  </conditionalFormatting>
  <conditionalFormatting sqref="BT45:BT47">
    <cfRule type="expression" dxfId="10" priority="11">
      <formula>#REF!="オフサイト貯留施設"</formula>
    </cfRule>
  </conditionalFormatting>
  <conditionalFormatting sqref="BZ45:BZ47">
    <cfRule type="expression" dxfId="9" priority="10">
      <formula>#REF!="オフサイト貯留施設"</formula>
    </cfRule>
  </conditionalFormatting>
  <conditionalFormatting sqref="BQ42">
    <cfRule type="expression" dxfId="8" priority="9">
      <formula>#REF!="オフサイト貯留施設"</formula>
    </cfRule>
  </conditionalFormatting>
  <conditionalFormatting sqref="BW42">
    <cfRule type="expression" dxfId="7" priority="8">
      <formula>#REF!="オフサイト貯留施設"</formula>
    </cfRule>
  </conditionalFormatting>
  <conditionalFormatting sqref="BQ21:BQ24">
    <cfRule type="expression" dxfId="4" priority="5">
      <formula>#REF!="オフサイト貯留施設"</formula>
    </cfRule>
  </conditionalFormatting>
  <conditionalFormatting sqref="BQ37:BQ40">
    <cfRule type="expression" dxfId="3" priority="4">
      <formula>#REF!="オフサイト貯留施設"</formula>
    </cfRule>
  </conditionalFormatting>
  <conditionalFormatting sqref="BQ29:BQ30">
    <cfRule type="expression" dxfId="2" priority="3">
      <formula>#REF!="オフサイト貯留施設"</formula>
    </cfRule>
  </conditionalFormatting>
  <conditionalFormatting sqref="BQ45:BQ47">
    <cfRule type="expression" dxfId="1" priority="2">
      <formula>#REF!="オフサイト貯留施設"</formula>
    </cfRule>
  </conditionalFormatting>
  <conditionalFormatting sqref="BW45:BW47">
    <cfRule type="expression" dxfId="0" priority="1">
      <formula>#REF!="オフサイト貯留施設"</formula>
    </cfRule>
  </conditionalFormatting>
  <pageMargins left="0.7" right="0.7" top="0.75" bottom="0.75" header="0.3" footer="0.3"/>
  <pageSetup paperSize="9" orientation="portrait" horizontalDpi="1200" verticalDpi="1200" r:id="rId1"/>
  <headerFooter>
    <oddFooter>&amp;R雨水流出抑制計算ver3.1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d a 9 4 9 c 8 - 8 4 8 0 - 4 4 5 7 - a c 2 3 - b 8 d 3 5 8 6 d 4 b 8 3 "   x m l n s = " h t t p : / / s c h e m a s . m i c r o s o f t . c o m / D a t a M a s h u p " > A A A A A B g D A A B Q S w M E F A A C A A g A u 1 S N 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L t U j 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7 V I 1 U K I p H u A 4 A A A A R A A A A E w A c A E Z v c m 1 1 b G F z L 1 N l Y 3 R p b 2 4 x L m 0 g o h g A K K A U A A A A A A A A A A A A A A A A A A A A A A A A A A A A K 0 5 N L s n M z 1 M I h t C G 1 g B Q S w E C L Q A U A A I A C A C 7 V I 1 U 8 h m R C 6 g A A A D 4 A A A A E g A A A A A A A A A A A A A A A A A A A A A A Q 2 9 u Z m l n L 1 B h Y 2 t h Z 2 U u e G 1 s U E s B A i 0 A F A A C A A g A u 1 S N V A / K 6 a u k A A A A 6 Q A A A B M A A A A A A A A A A A A A A A A A 9 A A A A F t D b 2 5 0 Z W 5 0 X 1 R 5 c G V z X S 5 4 b W x Q S w E C L Q A U A A I A C A C 7 V I 1 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U a 2 U 4 w C q v k 2 j c h 3 N J 2 z 4 J A A A A A A C A A A A A A A Q Z g A A A A E A A C A A A A A t e H h w V B s K y m g q S F o L L z I J F A Y N l a u H K a R k z U h 3 O P X s O A A A A A A O g A A A A A I A A C A A A A C E S 8 G T V a m l a s c 6 k F n U 4 z K k Z j t 9 9 o p 9 + c W k W X c u K o B S k F A A A A A d D E B o 4 5 1 J 7 O X K q x x V v l C T t P n r 6 s 1 W s c S u X z Q 8 S m Z x F q M B F 8 R 5 y m h D F d y + W i q v d b f V R S o G j F J Y y 4 R q s M 4 z 7 L g L j F g c j M s F C / k M b 4 y f A T 1 0 P k A A A A A c P D z b s j U m p 8 T Z + 0 + R C q W m a n t o 0 F M d v W 5 t 4 h W 7 V 4 z e B T N c p H a H r P F y l 0 q O w O T + A 8 / h f w C e P A 2 l m T L t J r W S z g Z Q < / D a t a M a s h u p > 
</file>

<file path=customXml/itemProps1.xml><?xml version="1.0" encoding="utf-8"?>
<ds:datastoreItem xmlns:ds="http://schemas.openxmlformats.org/officeDocument/2006/customXml" ds:itemID="{1CE6EE9C-0DC1-49AD-A8FB-9E91BF27207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はじめに</vt:lpstr>
      <vt:lpstr>①貯留_調整池</vt:lpstr>
      <vt:lpstr>②-1浸透_公共用地</vt:lpstr>
      <vt:lpstr>②-2浸透_宅造</vt:lpstr>
      <vt:lpstr>③浸透_住宅・事業所の建築</vt:lpstr>
      <vt:lpstr>備考</vt:lpstr>
      <vt:lpstr>①貯留_調整池!Print_Area</vt:lpstr>
      <vt:lpstr>'②-1浸透_公共用地'!Print_Area</vt:lpstr>
      <vt:lpstr>'②-2浸透_宅造'!Print_Area</vt:lpstr>
      <vt:lpstr>③浸透_住宅・事業所の建築!Print_Area</vt:lpstr>
      <vt:lpstr>矩形ます_側面・底面浸透</vt:lpstr>
      <vt:lpstr>矩形ます_側面浸透</vt:lpstr>
      <vt:lpstr>計画降雨名称・定数</vt:lpstr>
      <vt:lpstr>事業所浸透施設リスト</vt:lpstr>
      <vt:lpstr>事業所浸透貯留施設リスト</vt:lpstr>
      <vt:lpstr>大型貯留槽_側面・底面浸透10_20</vt:lpstr>
      <vt:lpstr>大型貯留槽_側面・底面浸透20_30</vt:lpstr>
      <vt:lpstr>大型貯留槽_側面・底面浸透5_10</vt:lpstr>
      <vt:lpstr>大型貯留槽_側面浸透10_20</vt:lpstr>
      <vt:lpstr>大型貯留槽_側面浸透20_30</vt:lpstr>
      <vt:lpstr>大型貯留槽_側面浸透5_10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土木建設課</cp:lastModifiedBy>
  <cp:lastPrinted>2025-02-20T00:46:59Z</cp:lastPrinted>
  <dcterms:created xsi:type="dcterms:W3CDTF">2021-07-10T07:54:00Z</dcterms:created>
  <dcterms:modified xsi:type="dcterms:W3CDTF">2025-03-13T06:23:23Z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